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440" windowHeight="12240" activeTab="0"/>
  </bookViews>
  <sheets>
    <sheet name="3 stage valuation mode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<sst xmlns="http://schemas.openxmlformats.org/spreadsheetml/2006/main" count="208" uniqueCount="138">
  <si>
    <t>Capital Spending, Depreciation &amp; Working Capital</t>
  </si>
  <si>
    <t>Do you want all these items to grow at the same rate as earnings ?</t>
  </si>
  <si>
    <t>If not, enter the growth rates for each of the following items:</t>
  </si>
  <si>
    <t>Capital Spending</t>
  </si>
  <si>
    <t>Depreciation</t>
  </si>
  <si>
    <t>Revenues</t>
  </si>
  <si>
    <t>High Growth</t>
  </si>
  <si>
    <t>Transition period</t>
  </si>
  <si>
    <t>Stable Growth</t>
  </si>
  <si>
    <t>Do not enter</t>
  </si>
  <si>
    <t>Do you want to keep the current fraction of working capital to revenues?</t>
  </si>
  <si>
    <t>If no, specify working capital as a percent of revenues:</t>
  </si>
  <si>
    <t>Do you want to use the current debt ratio as your desired mix?</t>
  </si>
  <si>
    <t>If no, enter the following inputs for financing mix,</t>
  </si>
  <si>
    <t>Desired debt financing proportion - Capital Spending</t>
  </si>
  <si>
    <t xml:space="preserve">Desired debt financing proportion - Working Capital </t>
  </si>
  <si>
    <t>Do you want to compute your reinvestment rate from fundamentals?</t>
  </si>
  <si>
    <t>Return on equity in stable growth period</t>
  </si>
  <si>
    <t>2. This extraordinary growth is expected to last for an initial period that has to be specified.</t>
  </si>
  <si>
    <t>3. The growth rate declines linearly over the transition period to a stable growth rate.</t>
  </si>
  <si>
    <t>4. The relationship between capital spending and depreciation changes consistently with the growth rate.</t>
  </si>
  <si>
    <t>1. Length of each growth phase</t>
  </si>
  <si>
    <t>2. Growth rate in each growth phase</t>
  </si>
  <si>
    <t>3. Capital Spending, Depreciation and Working Capital in each growth phase.</t>
  </si>
  <si>
    <t>4. Costs of Equity in each growth phase</t>
  </si>
  <si>
    <t>(in years)</t>
  </si>
  <si>
    <t>Do you want to use the historical growth rate?</t>
  </si>
  <si>
    <t>If yes, enter EPS from five years ago =</t>
  </si>
  <si>
    <t>Do you have an outside estimate of growth ?</t>
  </si>
  <si>
    <t>Yes</t>
  </si>
  <si>
    <t>If yes, enter the estimated growth:</t>
  </si>
  <si>
    <t>Do you want to calculate the growth rate from fundamentals?</t>
  </si>
  <si>
    <t>If yes, enter the following inputs:</t>
  </si>
  <si>
    <t>Net Income Currently =</t>
  </si>
  <si>
    <t>Interest Expense Currently =</t>
  </si>
  <si>
    <t>Book Value of Debt =</t>
  </si>
  <si>
    <t>Book Value of Equity =</t>
  </si>
  <si>
    <t>Tax Rate on Income=</t>
  </si>
  <si>
    <t>The following will be the inputs to the fundamental growth formulation:</t>
  </si>
  <si>
    <t>ROC =</t>
  </si>
  <si>
    <t>D/E =</t>
  </si>
  <si>
    <t>Retention =</t>
  </si>
  <si>
    <t>Interest Rate=</t>
  </si>
  <si>
    <t>Do you want to change any of these inputs for the high growth period?</t>
  </si>
  <si>
    <t>If yes, specify the values for these inputs (Please enter all variables)</t>
  </si>
  <si>
    <t>Stable Growth Inputs for Capital Expenditures and Depreciation</t>
  </si>
  <si>
    <t>Is capital spending to be offset by depreciation in stable period?</t>
  </si>
  <si>
    <t>If no, enter capital expenditures as % of depreciation in steady state:</t>
  </si>
  <si>
    <t xml:space="preserve"> (in percent: &gt; 100%)</t>
  </si>
  <si>
    <t>Output from the program</t>
  </si>
  <si>
    <t>Initial High Growth Phase</t>
  </si>
  <si>
    <t>Cost of Equity =</t>
  </si>
  <si>
    <t>Current Earnings per share=</t>
  </si>
  <si>
    <t>Proportion of Debt: Capital Spending (DR)=</t>
  </si>
  <si>
    <t>Proportion of Debt: Working Capital (DR)=</t>
  </si>
  <si>
    <t>(Capital Spending - Depreciation)*(1-DR)</t>
  </si>
  <si>
    <t>Change in Working Capital * (1-DR)</t>
  </si>
  <si>
    <t>Current FCFE</t>
  </si>
  <si>
    <t>Growth Rate in Earnings per share - Initial High Growth phase</t>
  </si>
  <si>
    <t>Do you want to change any of these inputs for the stable growth period?</t>
  </si>
  <si>
    <t xml:space="preserve">If yes, specify the values for these inputs </t>
  </si>
  <si>
    <t>Specify weights to be assigned to each of these growth rates:</t>
  </si>
  <si>
    <t>Historical Growth Rate  =</t>
  </si>
  <si>
    <t>Outside Prediction of Growth =</t>
  </si>
  <si>
    <t>Fundamental Estimate of Growth =</t>
  </si>
  <si>
    <t>Growth Rate during the transition period</t>
  </si>
  <si>
    <t>Enter length of the transition period =</t>
  </si>
  <si>
    <t>Do you want the beta to adjust gradually to stable beta?</t>
  </si>
  <si>
    <t>If no, enter the beta for the transition period =</t>
  </si>
  <si>
    <t>Growth Rate during the stable phase</t>
  </si>
  <si>
    <t>Enter growth rate in stable growth period?</t>
  </si>
  <si>
    <t>Will the beta change in the stable period?</t>
  </si>
  <si>
    <t>If yes, enter the beta for stable period =</t>
  </si>
  <si>
    <t>Growth Rate</t>
  </si>
  <si>
    <t>Weight</t>
  </si>
  <si>
    <t>Historical Growth =</t>
  </si>
  <si>
    <t>Outside Estimates =</t>
  </si>
  <si>
    <t>Fundamental Growth =</t>
  </si>
  <si>
    <t>Weighted Average</t>
  </si>
  <si>
    <t>Growth Rate in capital spending, depreciation and working capital</t>
  </si>
  <si>
    <t>Growth rate in capital spending =</t>
  </si>
  <si>
    <t>Growth rate in depreciation =</t>
  </si>
  <si>
    <t>Growth rate in revenues =</t>
  </si>
  <si>
    <t>Working Capital as percent of revenues =</t>
  </si>
  <si>
    <t xml:space="preserve"> (in percent)</t>
  </si>
  <si>
    <t>The dividends for the high growth phase are shown below (upto 10 years)</t>
  </si>
  <si>
    <t>Year</t>
  </si>
  <si>
    <t>Earnings</t>
  </si>
  <si>
    <t>(CapEx-Depreciation)*(1-DR)</t>
  </si>
  <si>
    <t>Chg. Working Capital *(1-DR)</t>
  </si>
  <si>
    <t>FCFE</t>
  </si>
  <si>
    <t>Present Value</t>
  </si>
  <si>
    <t>Transition period (upto ten years)</t>
  </si>
  <si>
    <t>Terminal Year</t>
  </si>
  <si>
    <t>Cumulated Growth</t>
  </si>
  <si>
    <t>Beta</t>
  </si>
  <si>
    <t xml:space="preserve">Cost of Equity </t>
  </si>
  <si>
    <t>End-of-Life Index</t>
  </si>
  <si>
    <t xml:space="preserve"> Stable Growth Phase</t>
  </si>
  <si>
    <t>Growth Rate in Stable Phase =</t>
  </si>
  <si>
    <t>FCFE in terminal year =</t>
  </si>
  <si>
    <t>Cost of Equity in Stable Phase =</t>
  </si>
  <si>
    <t>Price at the end of growth phase =</t>
  </si>
  <si>
    <t>Present Value of FCFE in high growth phase =</t>
  </si>
  <si>
    <t>Present Value of FCFE in transition phase =</t>
  </si>
  <si>
    <t>Present Value of Terminal Price =</t>
  </si>
  <si>
    <t>Value of the stock =</t>
  </si>
  <si>
    <t>Last year</t>
  </si>
  <si>
    <t>THREE-STAGE FCFE DISCOUNT MODEL</t>
  </si>
  <si>
    <t>Assumptions</t>
  </si>
  <si>
    <t>1. The firm is assumed to be in an extraordinary growth phase currently.</t>
  </si>
  <si>
    <t>Inputs to the model</t>
  </si>
  <si>
    <t>General Inputs</t>
  </si>
  <si>
    <t>Current Earnings per share =</t>
  </si>
  <si>
    <t>(in currency)</t>
  </si>
  <si>
    <t>Current Dividends per share =</t>
  </si>
  <si>
    <t>Current Depreciation / share =</t>
  </si>
  <si>
    <t>Current Revenues/ share =</t>
  </si>
  <si>
    <t>Working Capital/ share =</t>
  </si>
  <si>
    <t>Chg. Working Capital/share =</t>
  </si>
  <si>
    <t>Do you want to enter cost of equity directly?</t>
  </si>
  <si>
    <t>No</t>
  </si>
  <si>
    <t>(Yes or No)</t>
  </si>
  <si>
    <t>If yes, enter the cost of equity =</t>
  </si>
  <si>
    <t>(in percent)</t>
  </si>
  <si>
    <t>If no, enter the inputs to the cost of equity for the initial high growth stage</t>
  </si>
  <si>
    <t>Beta of the stock =</t>
  </si>
  <si>
    <t>Riskfree rate=</t>
  </si>
  <si>
    <t>Risk Premium=</t>
  </si>
  <si>
    <t>Earnings Inputs</t>
  </si>
  <si>
    <t>Growth Rate during the initial high growth phase</t>
  </si>
  <si>
    <t>Enter length of extraordinary growth period =</t>
  </si>
  <si>
    <t xml:space="preserve">Value the equity in a firm with three stages of growth </t>
  </si>
  <si>
    <t>1) an initial period of high growth</t>
  </si>
  <si>
    <t>2) a transition period of declining growth, and,</t>
  </si>
  <si>
    <t>3) a final period of stable growth</t>
  </si>
  <si>
    <t>Current Capital Spending/share =</t>
  </si>
  <si>
    <t>It should be entered the following inputs: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</si>
</sst>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Times"/>
      <family val="0"/>
    </font>
    <font>
      <sz val="12"/>
      <name val="Times"/>
      <family val="0"/>
    </font>
    <font>
      <sz val="10"/>
      <name val="Times"/>
      <family val="0"/>
    </font>
    <font>
      <i/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Verdana"/>
      <family val="0"/>
    </font>
    <font>
      <sz val="14"/>
      <name val="Times"/>
      <family val="1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8" fontId="6" fillId="0" borderId="10" xfId="43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8" fontId="6" fillId="0" borderId="12" xfId="43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8" fontId="6" fillId="0" borderId="1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8" fontId="6" fillId="0" borderId="0" xfId="43" applyFont="1" applyBorder="1" applyAlignment="1">
      <alignment horizontal="center"/>
    </xf>
    <xf numFmtId="0" fontId="7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8" fontId="6" fillId="0" borderId="0" xfId="43" applyFont="1" applyAlignment="1">
      <alignment horizontal="center"/>
    </xf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/>
    </xf>
    <xf numFmtId="8" fontId="6" fillId="0" borderId="11" xfId="0" applyNumberFormat="1" applyFont="1" applyBorder="1" applyAlignment="1">
      <alignment horizontal="center"/>
    </xf>
    <xf numFmtId="8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8" fontId="8" fillId="0" borderId="10" xfId="43" applyFont="1" applyBorder="1" applyAlignment="1">
      <alignment horizontal="center"/>
    </xf>
    <xf numFmtId="8" fontId="6" fillId="33" borderId="10" xfId="43" applyFont="1" applyFill="1" applyBorder="1" applyAlignment="1">
      <alignment horizontal="center"/>
    </xf>
    <xf numFmtId="8" fontId="6" fillId="33" borderId="12" xfId="43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/>
    </xf>
    <xf numFmtId="1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0" fontId="6" fillId="33" borderId="10" xfId="5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8" fontId="6" fillId="33" borderId="10" xfId="0" applyNumberFormat="1" applyFont="1" applyFill="1" applyBorder="1" applyAlignment="1">
      <alignment horizontal="center"/>
    </xf>
    <xf numFmtId="8" fontId="6" fillId="33" borderId="10" xfId="43" applyFont="1" applyFill="1" applyBorder="1" applyAlignment="1">
      <alignment/>
    </xf>
    <xf numFmtId="10" fontId="6" fillId="33" borderId="14" xfId="0" applyNumberFormat="1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 horizontal="center"/>
    </xf>
    <xf numFmtId="9" fontId="6" fillId="33" borderId="10" xfId="55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Alignment="1">
      <alignment horizontal="centerContinuous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96</xdr:row>
      <xdr:rowOff>180975</xdr:rowOff>
    </xdr:from>
    <xdr:to>
      <xdr:col>9</xdr:col>
      <xdr:colOff>85725</xdr:colOff>
      <xdr:row>101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38975" y="23955375"/>
          <a:ext cx="23431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If you are going to assume perpetual growth, you should answer no here and make sure that cap ex is higher than depreciation in your terminal year</a:t>
          </a:r>
        </a:p>
      </xdr:txBody>
    </xdr:sp>
    <xdr:clientData/>
  </xdr:twoCellAnchor>
  <xdr:twoCellAnchor>
    <xdr:from>
      <xdr:col>6</xdr:col>
      <xdr:colOff>581025</xdr:colOff>
      <xdr:row>102</xdr:row>
      <xdr:rowOff>57150</xdr:rowOff>
    </xdr:from>
    <xdr:to>
      <xdr:col>8</xdr:col>
      <xdr:colOff>571500</xdr:colOff>
      <xdr:row>107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67550" y="25317450"/>
          <a:ext cx="1933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Yes or No. If yes, enter the return on equity that your firm will have in perpetuity below. If no, enter cap ex as a percent of depreciation.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showGridLines="0" showZeros="0" tabSelected="1" zoomScalePageLayoutView="0" workbookViewId="0" topLeftCell="B1">
      <selection activeCell="F6" sqref="F6"/>
    </sheetView>
  </sheetViews>
  <sheetFormatPr defaultColWidth="11.375" defaultRowHeight="12.75"/>
  <cols>
    <col min="1" max="1" width="2.75390625" style="0" customWidth="1"/>
    <col min="2" max="2" width="12.75390625" style="0" customWidth="1"/>
    <col min="3" max="3" width="15.00390625" style="0" customWidth="1"/>
    <col min="4" max="4" width="18.125" style="0" customWidth="1"/>
    <col min="5" max="5" width="22.25390625" style="0" customWidth="1"/>
    <col min="6" max="6" width="14.25390625" style="0" customWidth="1"/>
    <col min="7" max="8" width="12.75390625" style="0" customWidth="1"/>
  </cols>
  <sheetData>
    <row r="1" spans="2:9" ht="19.5" customHeight="1">
      <c r="B1" s="1" t="s">
        <v>108</v>
      </c>
      <c r="C1" s="2"/>
      <c r="D1" s="62"/>
      <c r="E1" s="62"/>
      <c r="F1" s="62"/>
      <c r="G1" s="62"/>
      <c r="H1" s="2"/>
      <c r="I1" s="2"/>
    </row>
    <row r="2" spans="2:9" ht="19.5" customHeight="1">
      <c r="B2" s="1"/>
      <c r="C2" s="2"/>
      <c r="D2" s="2"/>
      <c r="E2" s="2"/>
      <c r="F2" s="2"/>
      <c r="G2" s="2"/>
      <c r="H2" s="2"/>
      <c r="I2" s="2"/>
    </row>
    <row r="3" spans="2:7" ht="19.5" customHeight="1">
      <c r="B3" s="54" t="s">
        <v>132</v>
      </c>
      <c r="C3" s="55"/>
      <c r="D3" s="55"/>
      <c r="E3" s="56"/>
      <c r="F3" s="5"/>
      <c r="G3" s="5"/>
    </row>
    <row r="4" spans="2:7" ht="19.5" customHeight="1">
      <c r="B4" s="57" t="s">
        <v>133</v>
      </c>
      <c r="C4" s="53"/>
      <c r="D4" s="53"/>
      <c r="E4" s="58"/>
      <c r="F4" s="5"/>
      <c r="G4" s="5"/>
    </row>
    <row r="5" spans="2:7" ht="19.5" customHeight="1">
      <c r="B5" s="57" t="s">
        <v>134</v>
      </c>
      <c r="C5" s="53"/>
      <c r="D5" s="53"/>
      <c r="E5" s="58"/>
      <c r="F5" s="5"/>
      <c r="G5" s="5"/>
    </row>
    <row r="6" spans="2:7" ht="19.5" customHeight="1">
      <c r="B6" s="59" t="s">
        <v>135</v>
      </c>
      <c r="C6" s="60"/>
      <c r="D6" s="60"/>
      <c r="E6" s="61"/>
      <c r="F6" s="5"/>
      <c r="G6" s="5"/>
    </row>
    <row r="7" spans="2:7" ht="19.5" customHeight="1">
      <c r="B7" s="5"/>
      <c r="C7" s="5"/>
      <c r="D7" s="5"/>
      <c r="E7" s="5"/>
      <c r="F7" s="5"/>
      <c r="G7" s="5"/>
    </row>
    <row r="8" s="6" customFormat="1" ht="19.5" customHeight="1">
      <c r="B8" s="14" t="s">
        <v>109</v>
      </c>
    </row>
    <row r="9" s="6" customFormat="1" ht="19.5" customHeight="1">
      <c r="B9" s="6" t="s">
        <v>110</v>
      </c>
    </row>
    <row r="10" s="6" customFormat="1" ht="19.5" customHeight="1">
      <c r="B10" s="6" t="s">
        <v>18</v>
      </c>
    </row>
    <row r="11" s="6" customFormat="1" ht="19.5" customHeight="1">
      <c r="B11" s="6" t="s">
        <v>19</v>
      </c>
    </row>
    <row r="12" s="6" customFormat="1" ht="19.5" customHeight="1">
      <c r="B12" s="6" t="s">
        <v>20</v>
      </c>
    </row>
    <row r="13" s="6" customFormat="1" ht="19.5" customHeight="1"/>
    <row r="14" s="6" customFormat="1" ht="19.5" customHeight="1">
      <c r="B14" s="14" t="s">
        <v>137</v>
      </c>
    </row>
    <row r="15" s="6" customFormat="1" ht="19.5" customHeight="1">
      <c r="B15" s="6" t="s">
        <v>21</v>
      </c>
    </row>
    <row r="16" s="6" customFormat="1" ht="19.5" customHeight="1">
      <c r="B16" s="6" t="s">
        <v>22</v>
      </c>
    </row>
    <row r="17" s="6" customFormat="1" ht="19.5" customHeight="1">
      <c r="B17" s="6" t="s">
        <v>23</v>
      </c>
    </row>
    <row r="18" s="6" customFormat="1" ht="19.5" customHeight="1">
      <c r="B18" s="6" t="s">
        <v>24</v>
      </c>
    </row>
    <row r="19" s="6" customFormat="1" ht="19.5" customHeight="1"/>
    <row r="20" s="6" customFormat="1" ht="19.5" customHeight="1"/>
    <row r="21" spans="1:9" s="6" customFormat="1" ht="19.5" customHeight="1">
      <c r="A21" s="7"/>
      <c r="B21" s="15" t="s">
        <v>111</v>
      </c>
      <c r="C21" s="7"/>
      <c r="D21" s="7"/>
      <c r="E21" s="7"/>
      <c r="F21" s="7"/>
      <c r="G21" s="7"/>
      <c r="H21" s="7"/>
      <c r="I21" s="7"/>
    </row>
    <row r="22" spans="1:9" s="6" customFormat="1" ht="19.5" customHeight="1">
      <c r="A22" s="7"/>
      <c r="B22" s="16" t="s">
        <v>112</v>
      </c>
      <c r="C22" s="7"/>
      <c r="D22" s="7"/>
      <c r="E22" s="8"/>
      <c r="F22" s="7"/>
      <c r="G22" s="7"/>
      <c r="H22" s="7"/>
      <c r="I22" s="7"/>
    </row>
    <row r="23" spans="2:5" s="6" customFormat="1" ht="19.5" customHeight="1">
      <c r="B23" s="6" t="s">
        <v>113</v>
      </c>
      <c r="D23" s="38">
        <v>0.85</v>
      </c>
      <c r="E23" s="13" t="s">
        <v>114</v>
      </c>
    </row>
    <row r="24" spans="2:5" s="6" customFormat="1" ht="19.5" customHeight="1">
      <c r="B24" s="6" t="s">
        <v>115</v>
      </c>
      <c r="D24" s="38">
        <v>0</v>
      </c>
      <c r="E24" s="13" t="s">
        <v>114</v>
      </c>
    </row>
    <row r="25" spans="2:5" s="6" customFormat="1" ht="19.5" customHeight="1">
      <c r="B25" s="63" t="s">
        <v>136</v>
      </c>
      <c r="D25" s="38">
        <v>1</v>
      </c>
      <c r="E25" s="13" t="s">
        <v>114</v>
      </c>
    </row>
    <row r="26" spans="2:5" s="6" customFormat="1" ht="19.5" customHeight="1">
      <c r="B26" s="6" t="s">
        <v>116</v>
      </c>
      <c r="D26" s="38">
        <v>0.8</v>
      </c>
      <c r="E26" s="13" t="s">
        <v>114</v>
      </c>
    </row>
    <row r="27" spans="2:5" s="6" customFormat="1" ht="19.5" customHeight="1">
      <c r="B27" s="6" t="s">
        <v>117</v>
      </c>
      <c r="D27" s="38">
        <v>12.5</v>
      </c>
      <c r="E27" s="13"/>
    </row>
    <row r="28" spans="2:5" s="6" customFormat="1" ht="19.5" customHeight="1">
      <c r="B28" s="6" t="s">
        <v>118</v>
      </c>
      <c r="D28" s="38">
        <f>5</f>
        <v>5</v>
      </c>
      <c r="E28" s="13" t="s">
        <v>114</v>
      </c>
    </row>
    <row r="29" spans="2:5" s="6" customFormat="1" ht="19.5" customHeight="1">
      <c r="B29" s="6" t="s">
        <v>119</v>
      </c>
      <c r="D29" s="39">
        <v>0.5</v>
      </c>
      <c r="E29" s="13"/>
    </row>
    <row r="30" s="6" customFormat="1" ht="19.5" customHeight="1"/>
    <row r="31" spans="2:6" s="6" customFormat="1" ht="19.5" customHeight="1">
      <c r="B31" s="6" t="s">
        <v>120</v>
      </c>
      <c r="E31" s="40" t="s">
        <v>121</v>
      </c>
      <c r="F31" s="13" t="s">
        <v>122</v>
      </c>
    </row>
    <row r="32" spans="2:6" s="6" customFormat="1" ht="19.5" customHeight="1">
      <c r="B32" s="6" t="s">
        <v>123</v>
      </c>
      <c r="E32" s="41"/>
      <c r="F32" s="13" t="s">
        <v>124</v>
      </c>
    </row>
    <row r="33" spans="2:6" s="6" customFormat="1" ht="19.5" customHeight="1">
      <c r="B33" s="10" t="s">
        <v>125</v>
      </c>
      <c r="F33" s="13"/>
    </row>
    <row r="34" spans="2:6" s="6" customFormat="1" ht="19.5" customHeight="1">
      <c r="B34" s="6" t="s">
        <v>126</v>
      </c>
      <c r="D34" s="42">
        <v>1.1</v>
      </c>
      <c r="F34" s="13"/>
    </row>
    <row r="35" spans="2:6" s="6" customFormat="1" ht="19.5" customHeight="1">
      <c r="B35" s="6" t="s">
        <v>127</v>
      </c>
      <c r="D35" s="41">
        <v>0.07</v>
      </c>
      <c r="E35" s="13" t="s">
        <v>124</v>
      </c>
      <c r="F35" s="13"/>
    </row>
    <row r="36" spans="2:6" s="6" customFormat="1" ht="19.5" customHeight="1">
      <c r="B36" s="6" t="s">
        <v>128</v>
      </c>
      <c r="D36" s="41">
        <v>0.055</v>
      </c>
      <c r="E36" s="13" t="s">
        <v>124</v>
      </c>
      <c r="F36" s="13"/>
    </row>
    <row r="37" s="6" customFormat="1" ht="19.5" customHeight="1">
      <c r="F37" s="13"/>
    </row>
    <row r="38" spans="2:6" s="6" customFormat="1" ht="19.5" customHeight="1">
      <c r="B38" s="14" t="s">
        <v>129</v>
      </c>
      <c r="F38" s="13"/>
    </row>
    <row r="39" spans="2:6" s="6" customFormat="1" ht="19.5" customHeight="1">
      <c r="B39" s="19" t="s">
        <v>130</v>
      </c>
      <c r="F39" s="13"/>
    </row>
    <row r="40" spans="2:6" s="6" customFormat="1" ht="19.5" customHeight="1">
      <c r="B40" s="6" t="s">
        <v>131</v>
      </c>
      <c r="E40" s="43">
        <v>5</v>
      </c>
      <c r="F40" s="13" t="s">
        <v>25</v>
      </c>
    </row>
    <row r="41" spans="2:6" s="6" customFormat="1" ht="19.5" customHeight="1">
      <c r="B41" s="14"/>
      <c r="E41" s="46"/>
      <c r="F41" s="13"/>
    </row>
    <row r="42" spans="2:6" s="6" customFormat="1" ht="19.5" customHeight="1">
      <c r="B42" s="6" t="s">
        <v>26</v>
      </c>
      <c r="E42" s="44" t="s">
        <v>121</v>
      </c>
      <c r="F42" s="13" t="s">
        <v>122</v>
      </c>
    </row>
    <row r="43" spans="2:6" s="6" customFormat="1" ht="19.5" customHeight="1">
      <c r="B43" s="6" t="s">
        <v>27</v>
      </c>
      <c r="E43" s="38">
        <v>0.9</v>
      </c>
      <c r="F43" s="13" t="s">
        <v>114</v>
      </c>
    </row>
    <row r="44" spans="5:6" s="6" customFormat="1" ht="19.5" customHeight="1">
      <c r="E44" s="46"/>
      <c r="F44" s="13"/>
    </row>
    <row r="45" spans="2:6" s="6" customFormat="1" ht="19.5" customHeight="1">
      <c r="B45" s="6" t="s">
        <v>28</v>
      </c>
      <c r="E45" s="44" t="s">
        <v>29</v>
      </c>
      <c r="F45" s="13" t="s">
        <v>122</v>
      </c>
    </row>
    <row r="46" spans="2:6" s="6" customFormat="1" ht="19.5" customHeight="1">
      <c r="B46" s="6" t="s">
        <v>30</v>
      </c>
      <c r="E46" s="45">
        <v>0.2</v>
      </c>
      <c r="F46" s="13" t="s">
        <v>124</v>
      </c>
    </row>
    <row r="47" s="6" customFormat="1" ht="19.5" customHeight="1">
      <c r="F47" s="13"/>
    </row>
    <row r="48" spans="2:7" s="6" customFormat="1" ht="19.5" customHeight="1">
      <c r="B48" s="6" t="s">
        <v>31</v>
      </c>
      <c r="F48" s="64" t="s">
        <v>121</v>
      </c>
      <c r="G48" s="13" t="s">
        <v>122</v>
      </c>
    </row>
    <row r="49" spans="2:6" s="6" customFormat="1" ht="19.5" customHeight="1">
      <c r="B49" s="10" t="s">
        <v>32</v>
      </c>
      <c r="F49" s="13"/>
    </row>
    <row r="50" spans="2:6" s="6" customFormat="1" ht="19.5" customHeight="1">
      <c r="B50" s="6" t="s">
        <v>33</v>
      </c>
      <c r="D50" s="47">
        <v>10</v>
      </c>
      <c r="F50" s="13" t="s">
        <v>114</v>
      </c>
    </row>
    <row r="51" spans="2:6" s="6" customFormat="1" ht="19.5" customHeight="1">
      <c r="B51" s="6" t="s">
        <v>34</v>
      </c>
      <c r="D51" s="47">
        <v>2.5</v>
      </c>
      <c r="E51" s="6" t="s">
        <v>107</v>
      </c>
      <c r="F51" s="13" t="s">
        <v>114</v>
      </c>
    </row>
    <row r="52" spans="2:6" s="6" customFormat="1" ht="19.5" customHeight="1">
      <c r="B52" s="6" t="s">
        <v>35</v>
      </c>
      <c r="D52" s="47">
        <v>16.1</v>
      </c>
      <c r="E52" s="48">
        <v>15.2</v>
      </c>
      <c r="F52" s="13" t="s">
        <v>114</v>
      </c>
    </row>
    <row r="53" spans="2:6" s="6" customFormat="1" ht="19.5" customHeight="1">
      <c r="B53" s="6" t="s">
        <v>36</v>
      </c>
      <c r="D53" s="47">
        <v>29.5</v>
      </c>
      <c r="E53" s="48">
        <v>28.1</v>
      </c>
      <c r="F53" s="13" t="s">
        <v>114</v>
      </c>
    </row>
    <row r="54" spans="2:6" s="6" customFormat="1" ht="19.5" customHeight="1">
      <c r="B54" s="6" t="s">
        <v>37</v>
      </c>
      <c r="D54" s="45">
        <v>0.45</v>
      </c>
      <c r="F54" s="13" t="s">
        <v>124</v>
      </c>
    </row>
    <row r="55" spans="2:6" s="6" customFormat="1" ht="19.5" customHeight="1">
      <c r="B55" s="10" t="s">
        <v>38</v>
      </c>
      <c r="F55" s="13"/>
    </row>
    <row r="56" spans="2:6" s="6" customFormat="1" ht="19.5" customHeight="1">
      <c r="B56" s="6" t="s">
        <v>39</v>
      </c>
      <c r="C56" s="41">
        <f>(D50+D51*(1-D54))/(E52+E53)</f>
        <v>0.26270207852194</v>
      </c>
      <c r="D56" s="6" t="s">
        <v>40</v>
      </c>
      <c r="E56" s="41">
        <f>D52/D53</f>
        <v>0.5457627118644068</v>
      </c>
      <c r="F56" s="13" t="s">
        <v>124</v>
      </c>
    </row>
    <row r="57" spans="2:6" s="6" customFormat="1" ht="19.5" customHeight="1">
      <c r="B57" s="6" t="s">
        <v>41</v>
      </c>
      <c r="C57" s="41">
        <f>1-D24/D23</f>
        <v>1</v>
      </c>
      <c r="D57" s="6" t="s">
        <v>42</v>
      </c>
      <c r="E57" s="41">
        <f>IF(D52=0,0,D51/D52)</f>
        <v>0.15527950310559005</v>
      </c>
      <c r="F57" s="13" t="s">
        <v>124</v>
      </c>
    </row>
    <row r="58" spans="2:7" s="6" customFormat="1" ht="19.5" customHeight="1">
      <c r="B58" s="6" t="s">
        <v>43</v>
      </c>
      <c r="F58" s="44" t="s">
        <v>121</v>
      </c>
      <c r="G58" s="13" t="s">
        <v>122</v>
      </c>
    </row>
    <row r="59" spans="2:6" s="6" customFormat="1" ht="19.5" customHeight="1">
      <c r="B59" s="10" t="s">
        <v>44</v>
      </c>
      <c r="F59" s="13"/>
    </row>
    <row r="60" spans="2:6" s="6" customFormat="1" ht="19.5" customHeight="1">
      <c r="B60" s="6" t="s">
        <v>39</v>
      </c>
      <c r="C60" s="41">
        <v>0.25</v>
      </c>
      <c r="D60" s="6" t="s">
        <v>40</v>
      </c>
      <c r="E60" s="41">
        <f>E56</f>
        <v>0.5457627118644068</v>
      </c>
      <c r="F60" s="13" t="s">
        <v>124</v>
      </c>
    </row>
    <row r="61" spans="2:6" s="6" customFormat="1" ht="19.5" customHeight="1">
      <c r="B61" s="6" t="s">
        <v>41</v>
      </c>
      <c r="C61" s="41">
        <f>C57</f>
        <v>1</v>
      </c>
      <c r="D61" s="6" t="s">
        <v>42</v>
      </c>
      <c r="E61" s="41">
        <f>E57</f>
        <v>0.15527950310559005</v>
      </c>
      <c r="F61" s="13" t="s">
        <v>124</v>
      </c>
    </row>
    <row r="62" spans="2:7" s="6" customFormat="1" ht="19.5" customHeight="1">
      <c r="B62" s="6" t="s">
        <v>59</v>
      </c>
      <c r="C62" s="13"/>
      <c r="E62" s="13"/>
      <c r="F62" s="44" t="s">
        <v>29</v>
      </c>
      <c r="G62" s="13" t="s">
        <v>122</v>
      </c>
    </row>
    <row r="63" spans="2:6" s="6" customFormat="1" ht="19.5" customHeight="1">
      <c r="B63" s="10" t="s">
        <v>60</v>
      </c>
      <c r="C63" s="13"/>
      <c r="E63" s="13"/>
      <c r="F63" s="13"/>
    </row>
    <row r="64" spans="2:6" s="6" customFormat="1" ht="19.5" customHeight="1">
      <c r="B64" s="6" t="s">
        <v>39</v>
      </c>
      <c r="C64" s="41">
        <v>0.2</v>
      </c>
      <c r="D64" s="6" t="s">
        <v>40</v>
      </c>
      <c r="E64" s="18">
        <f>E60</f>
        <v>0.5457627118644068</v>
      </c>
      <c r="F64" s="13" t="s">
        <v>124</v>
      </c>
    </row>
    <row r="65" spans="3:6" s="6" customFormat="1" ht="19.5" customHeight="1">
      <c r="C65" s="21"/>
      <c r="D65" s="6" t="s">
        <v>42</v>
      </c>
      <c r="E65" s="18">
        <v>0.14</v>
      </c>
      <c r="F65" s="13" t="s">
        <v>124</v>
      </c>
    </row>
    <row r="66" spans="5:6" s="6" customFormat="1" ht="19.5" customHeight="1">
      <c r="E66" s="13"/>
      <c r="F66" s="13"/>
    </row>
    <row r="67" spans="2:6" s="6" customFormat="1" ht="19.5" customHeight="1">
      <c r="B67" s="10" t="s">
        <v>61</v>
      </c>
      <c r="E67" s="13"/>
      <c r="F67" s="13"/>
    </row>
    <row r="68" spans="2:6" s="6" customFormat="1" ht="19.5" customHeight="1">
      <c r="B68" s="6" t="s">
        <v>62</v>
      </c>
      <c r="E68" s="41">
        <v>0</v>
      </c>
      <c r="F68" s="13" t="s">
        <v>124</v>
      </c>
    </row>
    <row r="69" spans="2:6" s="6" customFormat="1" ht="19.5" customHeight="1">
      <c r="B69" s="6" t="s">
        <v>63</v>
      </c>
      <c r="E69" s="41">
        <v>1</v>
      </c>
      <c r="F69" s="13" t="s">
        <v>124</v>
      </c>
    </row>
    <row r="70" spans="2:6" s="6" customFormat="1" ht="19.5" customHeight="1">
      <c r="B70" s="6" t="s">
        <v>64</v>
      </c>
      <c r="E70" s="41">
        <v>0</v>
      </c>
      <c r="F70" s="13" t="s">
        <v>124</v>
      </c>
    </row>
    <row r="71" s="6" customFormat="1" ht="19.5" customHeight="1"/>
    <row r="72" s="6" customFormat="1" ht="19.5" customHeight="1">
      <c r="B72" s="19" t="s">
        <v>65</v>
      </c>
    </row>
    <row r="73" spans="2:6" s="6" customFormat="1" ht="19.5" customHeight="1">
      <c r="B73" s="6" t="s">
        <v>66</v>
      </c>
      <c r="E73" s="44">
        <v>10</v>
      </c>
      <c r="F73" s="13" t="s">
        <v>25</v>
      </c>
    </row>
    <row r="74" spans="6:7" s="6" customFormat="1" ht="19.5" customHeight="1">
      <c r="F74" s="22"/>
      <c r="G74" s="13"/>
    </row>
    <row r="75" spans="2:7" s="6" customFormat="1" ht="19.5" customHeight="1">
      <c r="B75" s="6" t="s">
        <v>67</v>
      </c>
      <c r="F75" s="44" t="s">
        <v>29</v>
      </c>
      <c r="G75" s="13" t="s">
        <v>122</v>
      </c>
    </row>
    <row r="76" spans="2:6" s="6" customFormat="1" ht="19.5" customHeight="1">
      <c r="B76" s="6" t="s">
        <v>68</v>
      </c>
      <c r="F76" s="44"/>
    </row>
    <row r="77" s="6" customFormat="1" ht="19.5" customHeight="1"/>
    <row r="78" s="6" customFormat="1" ht="19.5" customHeight="1">
      <c r="B78" s="19" t="s">
        <v>69</v>
      </c>
    </row>
    <row r="79" spans="2:6" s="6" customFormat="1" ht="19.5" customHeight="1">
      <c r="B79" s="6" t="s">
        <v>70</v>
      </c>
      <c r="E79" s="41">
        <v>0.05</v>
      </c>
      <c r="F79" s="13" t="s">
        <v>124</v>
      </c>
    </row>
    <row r="80" spans="5:6" s="6" customFormat="1" ht="19.5" customHeight="1">
      <c r="E80" s="23"/>
      <c r="F80" s="13"/>
    </row>
    <row r="81" spans="2:6" s="6" customFormat="1" ht="19.5" customHeight="1">
      <c r="B81" s="6" t="s">
        <v>71</v>
      </c>
      <c r="E81" s="44" t="s">
        <v>29</v>
      </c>
      <c r="F81" s="13" t="s">
        <v>122</v>
      </c>
    </row>
    <row r="82" spans="2:6" s="6" customFormat="1" ht="19.5" customHeight="1">
      <c r="B82" s="6" t="s">
        <v>72</v>
      </c>
      <c r="E82" s="44">
        <v>0.9</v>
      </c>
      <c r="F82" s="13"/>
    </row>
    <row r="83" spans="5:6" s="6" customFormat="1" ht="19.5" customHeight="1">
      <c r="E83" s="13"/>
      <c r="F83" s="13"/>
    </row>
    <row r="84" spans="2:6" s="6" customFormat="1" ht="19.5" customHeight="1">
      <c r="B84" s="14" t="s">
        <v>0</v>
      </c>
      <c r="E84" s="13"/>
      <c r="F84" s="13"/>
    </row>
    <row r="85" spans="2:7" s="6" customFormat="1" ht="19.5" customHeight="1">
      <c r="B85" s="6" t="s">
        <v>1</v>
      </c>
      <c r="E85" s="13"/>
      <c r="F85" s="44" t="s">
        <v>29</v>
      </c>
      <c r="G85" s="13" t="s">
        <v>122</v>
      </c>
    </row>
    <row r="86" spans="2:6" s="6" customFormat="1" ht="19.5" customHeight="1">
      <c r="B86" s="6" t="s">
        <v>2</v>
      </c>
      <c r="E86" s="13"/>
      <c r="F86" s="13"/>
    </row>
    <row r="87" spans="3:6" s="6" customFormat="1" ht="19.5" customHeight="1">
      <c r="C87" s="6" t="s">
        <v>3</v>
      </c>
      <c r="D87" s="6" t="s">
        <v>4</v>
      </c>
      <c r="E87" s="13" t="s">
        <v>5</v>
      </c>
      <c r="F87" s="13"/>
    </row>
    <row r="88" spans="2:6" s="6" customFormat="1" ht="19.5" customHeight="1">
      <c r="B88" s="6" t="s">
        <v>6</v>
      </c>
      <c r="C88" s="41">
        <v>0.2</v>
      </c>
      <c r="D88" s="41">
        <v>0.2</v>
      </c>
      <c r="E88" s="41">
        <v>0.18</v>
      </c>
      <c r="F88" s="13" t="s">
        <v>124</v>
      </c>
    </row>
    <row r="89" spans="2:6" s="6" customFormat="1" ht="19.5" customHeight="1">
      <c r="B89" s="6" t="s">
        <v>7</v>
      </c>
      <c r="C89" s="41">
        <v>0.12</v>
      </c>
      <c r="D89" s="41">
        <v>0.12</v>
      </c>
      <c r="E89" s="49">
        <v>0.12</v>
      </c>
      <c r="F89" s="13" t="s">
        <v>124</v>
      </c>
    </row>
    <row r="90" spans="2:6" s="6" customFormat="1" ht="19.5" customHeight="1">
      <c r="B90" s="6" t="s">
        <v>8</v>
      </c>
      <c r="C90" s="41" t="s">
        <v>9</v>
      </c>
      <c r="D90" s="41" t="s">
        <v>9</v>
      </c>
      <c r="E90" s="49">
        <v>0.06</v>
      </c>
      <c r="F90" s="13" t="s">
        <v>124</v>
      </c>
    </row>
    <row r="91" spans="5:6" s="6" customFormat="1" ht="19.5" customHeight="1">
      <c r="E91" s="13"/>
      <c r="F91" s="13"/>
    </row>
    <row r="92" spans="2:7" s="6" customFormat="1" ht="19.5" customHeight="1">
      <c r="B92" s="6" t="s">
        <v>10</v>
      </c>
      <c r="E92" s="13"/>
      <c r="F92" s="44" t="s">
        <v>29</v>
      </c>
      <c r="G92" s="13" t="s">
        <v>122</v>
      </c>
    </row>
    <row r="93" spans="2:6" s="6" customFormat="1" ht="19.5" customHeight="1">
      <c r="B93" s="6" t="s">
        <v>11</v>
      </c>
      <c r="E93" s="41"/>
      <c r="F93" s="13" t="s">
        <v>124</v>
      </c>
    </row>
    <row r="94" spans="5:6" s="6" customFormat="1" ht="19.5" customHeight="1">
      <c r="E94" s="13"/>
      <c r="F94" s="13"/>
    </row>
    <row r="95" spans="2:7" s="6" customFormat="1" ht="19.5" customHeight="1">
      <c r="B95" s="6" t="s">
        <v>12</v>
      </c>
      <c r="E95" s="13"/>
      <c r="F95" s="44" t="s">
        <v>121</v>
      </c>
      <c r="G95" s="13" t="s">
        <v>122</v>
      </c>
    </row>
    <row r="96" spans="2:6" s="6" customFormat="1" ht="19.5" customHeight="1">
      <c r="B96" s="10" t="s">
        <v>13</v>
      </c>
      <c r="E96" s="13"/>
      <c r="F96" s="13"/>
    </row>
    <row r="97" spans="2:6" s="6" customFormat="1" ht="19.5" customHeight="1">
      <c r="B97" s="6" t="s">
        <v>14</v>
      </c>
      <c r="E97" s="41">
        <v>0.15</v>
      </c>
      <c r="F97" s="13" t="s">
        <v>124</v>
      </c>
    </row>
    <row r="98" spans="2:6" s="6" customFormat="1" ht="19.5" customHeight="1">
      <c r="B98" s="6" t="s">
        <v>15</v>
      </c>
      <c r="E98" s="50">
        <v>0.15</v>
      </c>
      <c r="F98" s="13" t="s">
        <v>124</v>
      </c>
    </row>
    <row r="99" spans="5:6" s="6" customFormat="1" ht="19.5" customHeight="1">
      <c r="E99" s="23"/>
      <c r="F99" s="13"/>
    </row>
    <row r="100" spans="2:6" s="6" customFormat="1" ht="19.5" customHeight="1">
      <c r="B100" s="10" t="s">
        <v>45</v>
      </c>
      <c r="E100" s="23"/>
      <c r="F100" s="13"/>
    </row>
    <row r="101" spans="2:7" s="6" customFormat="1" ht="19.5" customHeight="1">
      <c r="B101" s="6" t="s">
        <v>46</v>
      </c>
      <c r="E101" s="13"/>
      <c r="F101" s="44" t="s">
        <v>121</v>
      </c>
      <c r="G101" s="13"/>
    </row>
    <row r="102" spans="2:7" s="6" customFormat="1" ht="19.5" customHeight="1">
      <c r="B102" s="6" t="s">
        <v>16</v>
      </c>
      <c r="E102" s="13"/>
      <c r="F102" s="44" t="s">
        <v>29</v>
      </c>
      <c r="G102" s="13"/>
    </row>
    <row r="103" spans="2:7" s="6" customFormat="1" ht="19.5" customHeight="1">
      <c r="B103" s="6" t="s">
        <v>17</v>
      </c>
      <c r="E103" s="13"/>
      <c r="F103" s="52">
        <v>0.12</v>
      </c>
      <c r="G103" s="13"/>
    </row>
    <row r="104" spans="2:7" s="6" customFormat="1" ht="19.5" customHeight="1">
      <c r="B104" s="6" t="s">
        <v>47</v>
      </c>
      <c r="E104" s="13"/>
      <c r="F104" s="51">
        <v>1.25</v>
      </c>
      <c r="G104" s="13"/>
    </row>
    <row r="105" spans="2:7" s="6" customFormat="1" ht="19.5" customHeight="1">
      <c r="B105" s="6" t="s">
        <v>48</v>
      </c>
      <c r="E105" s="13"/>
      <c r="F105" s="23"/>
      <c r="G105" s="13"/>
    </row>
    <row r="106" spans="1:9" s="6" customFormat="1" ht="19.5" customHeight="1">
      <c r="A106" s="7"/>
      <c r="B106" s="15" t="s">
        <v>49</v>
      </c>
      <c r="C106" s="7"/>
      <c r="D106" s="7"/>
      <c r="E106" s="7"/>
      <c r="F106" s="7"/>
      <c r="G106" s="7"/>
      <c r="H106" s="7"/>
      <c r="I106" s="7"/>
    </row>
    <row r="107" spans="2:8" s="6" customFormat="1" ht="19.5" customHeight="1">
      <c r="B107" s="25" t="s">
        <v>50</v>
      </c>
      <c r="C107" s="7"/>
      <c r="D107" s="7"/>
      <c r="E107" s="7"/>
      <c r="F107" s="7"/>
      <c r="G107" s="7"/>
      <c r="H107" s="7"/>
    </row>
    <row r="108" spans="2:6" s="6" customFormat="1" ht="19.5" customHeight="1">
      <c r="B108" s="6" t="s">
        <v>51</v>
      </c>
      <c r="D108" s="18">
        <f>IF(E31="Yes",E32,D35+D34*D36)</f>
        <v>0.1305</v>
      </c>
      <c r="E108" s="13"/>
      <c r="F108" s="13"/>
    </row>
    <row r="109" spans="2:6" s="6" customFormat="1" ht="19.5" customHeight="1">
      <c r="B109" s="6" t="s">
        <v>52</v>
      </c>
      <c r="D109" s="20">
        <f>D23</f>
        <v>0.85</v>
      </c>
      <c r="E109" s="13"/>
      <c r="F109" s="13"/>
    </row>
    <row r="110" spans="5:6" s="6" customFormat="1" ht="19.5" customHeight="1">
      <c r="E110" s="13"/>
      <c r="F110" s="13"/>
    </row>
    <row r="111" spans="2:6" s="6" customFormat="1" ht="19.5" customHeight="1">
      <c r="B111" s="6" t="s">
        <v>53</v>
      </c>
      <c r="E111" s="18">
        <f>IF(F95="Yes",E56/(1+E56),E97)</f>
        <v>0.15</v>
      </c>
      <c r="F111" s="13"/>
    </row>
    <row r="112" spans="2:6" s="6" customFormat="1" ht="19.5" customHeight="1">
      <c r="B112" s="6" t="s">
        <v>54</v>
      </c>
      <c r="E112" s="18">
        <f>IF(F95="Yes",E56/(1+E56),E98)</f>
        <v>0.15</v>
      </c>
      <c r="F112" s="13"/>
    </row>
    <row r="113" spans="5:6" s="6" customFormat="1" ht="19.5" customHeight="1">
      <c r="E113" s="23"/>
      <c r="F113" s="13"/>
    </row>
    <row r="114" spans="2:6" s="6" customFormat="1" ht="19.5" customHeight="1">
      <c r="B114" s="6" t="s">
        <v>52</v>
      </c>
      <c r="E114" s="9">
        <f>D23</f>
        <v>0.85</v>
      </c>
      <c r="F114" s="13"/>
    </row>
    <row r="115" spans="2:6" s="6" customFormat="1" ht="19.5" customHeight="1">
      <c r="B115" s="6" t="s">
        <v>55</v>
      </c>
      <c r="E115" s="9">
        <f>(D25-D26)*(1-E111)</f>
        <v>0.16999999999999996</v>
      </c>
      <c r="F115" s="13"/>
    </row>
    <row r="116" spans="2:6" s="6" customFormat="1" ht="19.5" customHeight="1">
      <c r="B116" s="6" t="s">
        <v>56</v>
      </c>
      <c r="E116" s="9">
        <f>D29*(1-E112)</f>
        <v>0.425</v>
      </c>
      <c r="F116" s="13"/>
    </row>
    <row r="117" spans="2:6" s="6" customFormat="1" ht="19.5" customHeight="1">
      <c r="B117" s="6" t="s">
        <v>57</v>
      </c>
      <c r="E117" s="17">
        <f>E114-E115-E116</f>
        <v>0.25500000000000006</v>
      </c>
      <c r="F117" s="13"/>
    </row>
    <row r="118" spans="5:6" s="6" customFormat="1" ht="19.5" customHeight="1">
      <c r="E118" s="26"/>
      <c r="F118" s="13"/>
    </row>
    <row r="119" spans="2:8" s="10" customFormat="1" ht="19.5" customHeight="1">
      <c r="B119" s="6" t="s">
        <v>58</v>
      </c>
      <c r="C119" s="6"/>
      <c r="D119" s="6"/>
      <c r="E119" s="13"/>
      <c r="F119" s="13"/>
      <c r="G119" s="6"/>
      <c r="H119" s="6"/>
    </row>
    <row r="120" spans="2:8" s="6" customFormat="1" ht="19.5" customHeight="1">
      <c r="B120" s="10"/>
      <c r="C120" s="10"/>
      <c r="D120" s="10" t="s">
        <v>73</v>
      </c>
      <c r="E120" s="27" t="s">
        <v>74</v>
      </c>
      <c r="F120" s="27"/>
      <c r="G120" s="10"/>
      <c r="H120" s="10"/>
    </row>
    <row r="121" spans="2:6" s="6" customFormat="1" ht="19.5" customHeight="1">
      <c r="B121" s="6" t="s">
        <v>75</v>
      </c>
      <c r="D121" s="18">
        <f>IF(E42="Yes",(D23/E43)^0.2-1,0)</f>
        <v>0</v>
      </c>
      <c r="E121" s="18">
        <f>IF(E42="Yes",E68,0)</f>
        <v>0</v>
      </c>
      <c r="F121" s="13"/>
    </row>
    <row r="122" spans="2:6" s="6" customFormat="1" ht="19.5" customHeight="1">
      <c r="B122" s="6" t="s">
        <v>76</v>
      </c>
      <c r="D122" s="18">
        <f>IF(E45="Yes",E46,0)</f>
        <v>0.2</v>
      </c>
      <c r="E122" s="18">
        <f>IF(E45="Yes",E69,0)</f>
        <v>1</v>
      </c>
      <c r="F122" s="13"/>
    </row>
    <row r="123" spans="2:8" s="10" customFormat="1" ht="19.5" customHeight="1">
      <c r="B123" s="6" t="s">
        <v>77</v>
      </c>
      <c r="C123" s="6"/>
      <c r="D123" s="18">
        <f>IF(F48="Yes",(IF(F58="No",C57*(C56+E56*(C56-E57*(1-D54))),C61*(C60+E60*(C60-E61*(1-D54))))),0)</f>
        <v>0</v>
      </c>
      <c r="E123" s="18">
        <f>IF(F48="Yes",E70,0)</f>
        <v>0</v>
      </c>
      <c r="F123" s="13"/>
      <c r="G123" s="6"/>
      <c r="H123" s="6"/>
    </row>
    <row r="124" spans="2:8" s="6" customFormat="1" ht="19.5" customHeight="1">
      <c r="B124" s="10" t="s">
        <v>78</v>
      </c>
      <c r="C124" s="10"/>
      <c r="D124" s="18">
        <f>D121*E121+D122*E122+D123*E123</f>
        <v>0.2</v>
      </c>
      <c r="E124" s="27"/>
      <c r="F124" s="27"/>
      <c r="G124" s="10"/>
      <c r="H124" s="10"/>
    </row>
    <row r="125" spans="5:6" s="6" customFormat="1" ht="19.5" customHeight="1">
      <c r="E125" s="13"/>
      <c r="F125" s="13"/>
    </row>
    <row r="126" spans="2:6" s="6" customFormat="1" ht="19.5" customHeight="1">
      <c r="B126" s="6" t="s">
        <v>79</v>
      </c>
      <c r="E126" s="28"/>
      <c r="F126" s="13"/>
    </row>
    <row r="127" spans="4:6" s="6" customFormat="1" ht="19.5" customHeight="1">
      <c r="D127" s="6" t="s">
        <v>6</v>
      </c>
      <c r="E127" s="28" t="s">
        <v>7</v>
      </c>
      <c r="F127" s="13" t="s">
        <v>8</v>
      </c>
    </row>
    <row r="128" spans="2:6" s="6" customFormat="1" ht="19.5" customHeight="1">
      <c r="B128" s="6" t="s">
        <v>80</v>
      </c>
      <c r="D128" s="18">
        <f>IF(F85="Yes",D124,C88)</f>
        <v>0.2</v>
      </c>
      <c r="E128" s="18" t="str">
        <f>IF(F85="Yes","Earnings g",C89)</f>
        <v>Earnings g</v>
      </c>
      <c r="F128" s="18">
        <f>IF(F85="Yes",E155,C90)</f>
        <v>0.05</v>
      </c>
    </row>
    <row r="129" spans="2:6" s="6" customFormat="1" ht="19.5" customHeight="1">
      <c r="B129" s="6" t="s">
        <v>81</v>
      </c>
      <c r="D129" s="18">
        <f>IF(F85="Yes",D124,D88)</f>
        <v>0.2</v>
      </c>
      <c r="E129" s="18" t="str">
        <f>IF(F85="Yes","Earnings g",D89)</f>
        <v>Earnings g</v>
      </c>
      <c r="F129" s="18">
        <f>IF(F85="Yes",E155,D90)</f>
        <v>0.05</v>
      </c>
    </row>
    <row r="130" spans="2:6" s="6" customFormat="1" ht="19.5" customHeight="1">
      <c r="B130" s="6" t="s">
        <v>82</v>
      </c>
      <c r="D130" s="24">
        <f>IF(F85="Yes",D124,E88)</f>
        <v>0.2</v>
      </c>
      <c r="E130" s="24" t="str">
        <f>IF(F85="Yes","Earnings g",E89)</f>
        <v>Earnings g</v>
      </c>
      <c r="F130" s="24">
        <f>IF(F85="Yes",E155,E90)</f>
        <v>0.05</v>
      </c>
    </row>
    <row r="131" spans="5:6" s="6" customFormat="1" ht="19.5" customHeight="1">
      <c r="E131" s="28"/>
      <c r="F131" s="13"/>
    </row>
    <row r="132" spans="2:6" s="6" customFormat="1" ht="19.5" customHeight="1">
      <c r="B132" s="6" t="s">
        <v>83</v>
      </c>
      <c r="E132" s="18">
        <f>IF(F92="Yes",D28/D27,E93)</f>
        <v>0.4</v>
      </c>
      <c r="F132" s="13" t="s">
        <v>84</v>
      </c>
    </row>
    <row r="133" spans="5:6" s="6" customFormat="1" ht="19.5" customHeight="1">
      <c r="E133" s="28"/>
      <c r="F133" s="13"/>
    </row>
    <row r="134" spans="2:13" s="10" customFormat="1" ht="19.5" customHeight="1">
      <c r="B134" s="10" t="s">
        <v>85</v>
      </c>
      <c r="C134" s="6"/>
      <c r="D134" s="6"/>
      <c r="E134" s="28"/>
      <c r="F134" s="13"/>
      <c r="G134" s="6"/>
      <c r="H134" s="6"/>
      <c r="I134" s="27"/>
      <c r="J134" s="27"/>
      <c r="K134" s="27"/>
      <c r="L134" s="27"/>
      <c r="M134" s="27"/>
    </row>
    <row r="135" spans="2:14" s="6" customFormat="1" ht="19.5" customHeight="1">
      <c r="B135" s="27" t="s">
        <v>86</v>
      </c>
      <c r="C135" s="27"/>
      <c r="D135" s="27">
        <f>IF(E40=0," ",1)</f>
        <v>1</v>
      </c>
      <c r="E135" s="27">
        <f>IF(E40=1," ",2)</f>
        <v>2</v>
      </c>
      <c r="F135" s="29">
        <f>IF(E40&lt;3," ",3)</f>
        <v>3</v>
      </c>
      <c r="G135" s="27">
        <f>IF(E40&lt;4," ",4)</f>
        <v>4</v>
      </c>
      <c r="H135" s="27">
        <f>IF($E$40&lt;5," ",5)</f>
        <v>5</v>
      </c>
      <c r="I135" s="27" t="str">
        <f>IF($E$40&lt;6," ",6)</f>
        <v> </v>
      </c>
      <c r="J135" s="30" t="str">
        <f>IF($E$40&lt;7," ",7)</f>
        <v> </v>
      </c>
      <c r="K135" s="30" t="str">
        <f>IF($E$40&lt;8," ",8)</f>
        <v> </v>
      </c>
      <c r="L135" s="30" t="str">
        <f>IF($E$40&lt;9," ",9)</f>
        <v> </v>
      </c>
      <c r="M135" s="30" t="str">
        <f>IF($E$40&lt;10," ",10)</f>
        <v> </v>
      </c>
      <c r="N135" s="13"/>
    </row>
    <row r="136" spans="2:13" s="6" customFormat="1" ht="19.5" customHeight="1">
      <c r="B136" s="13" t="s">
        <v>87</v>
      </c>
      <c r="C136" s="13"/>
      <c r="D136" s="30">
        <f>IF(E40&lt;1," ",D109*(1+D124))</f>
        <v>1.02</v>
      </c>
      <c r="E136" s="30">
        <f>IF($E$40&lt;2," ",D136*(1+$D$124))</f>
        <v>1.224</v>
      </c>
      <c r="F136" s="30">
        <f>IF($E$40&lt;3," ",E136*(1+$D$124))</f>
        <v>1.4687999999999999</v>
      </c>
      <c r="G136" s="30">
        <f>IF($E$40&lt;4," ",F136*(1+$D$124))</f>
        <v>1.76256</v>
      </c>
      <c r="H136" s="30">
        <f>IF($E$40&lt;5," ",G136*(1+$D$124))</f>
        <v>2.1150719999999996</v>
      </c>
      <c r="I136" s="30" t="str">
        <f>IF($E$40&lt;6," ",H136*(1+$D$124))</f>
        <v> </v>
      </c>
      <c r="J136" s="30" t="str">
        <f>IF($E$40&lt;7," ",I136*(1+$D$124))</f>
        <v> </v>
      </c>
      <c r="K136" s="30" t="str">
        <f>IF($E$40&lt;8," ",J136*(1+$D$124))</f>
        <v> </v>
      </c>
      <c r="L136" s="30" t="str">
        <f>IF($E$40&lt;9," ",K136*(1+$D$124))</f>
        <v> </v>
      </c>
      <c r="M136" s="30" t="str">
        <f>IF($E$40&lt;10," ",L136*(1+$D$124))</f>
        <v> </v>
      </c>
    </row>
    <row r="137" spans="2:13" s="6" customFormat="1" ht="19.5" customHeight="1">
      <c r="B137" s="31" t="s">
        <v>88</v>
      </c>
      <c r="C137" s="31"/>
      <c r="D137" s="30">
        <f aca="true" t="shared" si="0" ref="D137:M137">IF($E$40&lt;D135," ",($D$25*(1+$D$128)^D135-$D$26*(1+$D$129)^D135)*(1-$E$111))</f>
        <v>0.204</v>
      </c>
      <c r="E137" s="30">
        <f t="shared" si="0"/>
        <v>0.24480000000000002</v>
      </c>
      <c r="F137" s="30">
        <f t="shared" si="0"/>
        <v>0.2937599999999999</v>
      </c>
      <c r="G137" s="30">
        <f t="shared" si="0"/>
        <v>0.352512</v>
      </c>
      <c r="H137" s="30">
        <f t="shared" si="0"/>
        <v>0.4230143999999999</v>
      </c>
      <c r="I137" s="30" t="str">
        <f t="shared" si="0"/>
        <v> </v>
      </c>
      <c r="J137" s="30" t="str">
        <f t="shared" si="0"/>
        <v> </v>
      </c>
      <c r="K137" s="30" t="str">
        <f t="shared" si="0"/>
        <v> </v>
      </c>
      <c r="L137" s="30" t="str">
        <f t="shared" si="0"/>
        <v> </v>
      </c>
      <c r="M137" s="30" t="str">
        <f t="shared" si="0"/>
        <v> </v>
      </c>
    </row>
    <row r="138" spans="2:13" s="6" customFormat="1" ht="19.5" customHeight="1">
      <c r="B138" s="31" t="s">
        <v>89</v>
      </c>
      <c r="C138" s="31"/>
      <c r="D138" s="30">
        <f aca="true" t="shared" si="1" ref="D138:M138">IF($E$40&lt;D135," ",($D$27*(1+$D$130)^D135-$D$27*(1+$D$130)^(D135-1))*$E$132*(1-$E$112))</f>
        <v>0.85</v>
      </c>
      <c r="E138" s="30">
        <f t="shared" si="1"/>
        <v>1.02</v>
      </c>
      <c r="F138" s="30">
        <f t="shared" si="1"/>
        <v>1.2240000000000004</v>
      </c>
      <c r="G138" s="30">
        <f t="shared" si="1"/>
        <v>1.468799999999999</v>
      </c>
      <c r="H138" s="30">
        <f t="shared" si="1"/>
        <v>1.7625600000000001</v>
      </c>
      <c r="I138" s="30" t="str">
        <f t="shared" si="1"/>
        <v> </v>
      </c>
      <c r="J138" s="30" t="str">
        <f t="shared" si="1"/>
        <v> </v>
      </c>
      <c r="K138" s="30" t="str">
        <f t="shared" si="1"/>
        <v> </v>
      </c>
      <c r="L138" s="30" t="str">
        <f t="shared" si="1"/>
        <v> </v>
      </c>
      <c r="M138" s="30" t="str">
        <f t="shared" si="1"/>
        <v> </v>
      </c>
    </row>
    <row r="139" spans="2:13" s="6" customFormat="1" ht="19.5" customHeight="1">
      <c r="B139" s="31" t="s">
        <v>90</v>
      </c>
      <c r="C139" s="30"/>
      <c r="D139" s="30">
        <f aca="true" t="shared" si="2" ref="D139:M139">IF($E$40&lt;D135," ",D136-D137-D138)</f>
        <v>-0.03399999999999992</v>
      </c>
      <c r="E139" s="30">
        <f t="shared" si="2"/>
        <v>-0.04080000000000006</v>
      </c>
      <c r="F139" s="30">
        <f t="shared" si="2"/>
        <v>-0.04896000000000034</v>
      </c>
      <c r="G139" s="30">
        <f t="shared" si="2"/>
        <v>-0.05875199999999903</v>
      </c>
      <c r="H139" s="30">
        <f t="shared" si="2"/>
        <v>-0.07050240000000052</v>
      </c>
      <c r="I139" s="30" t="str">
        <f t="shared" si="2"/>
        <v> </v>
      </c>
      <c r="J139" s="30" t="str">
        <f t="shared" si="2"/>
        <v> </v>
      </c>
      <c r="K139" s="30" t="str">
        <f t="shared" si="2"/>
        <v> </v>
      </c>
      <c r="L139" s="30" t="str">
        <f t="shared" si="2"/>
        <v> </v>
      </c>
      <c r="M139" s="30" t="str">
        <f t="shared" si="2"/>
        <v> </v>
      </c>
    </row>
    <row r="140" spans="2:13" s="6" customFormat="1" ht="19.5" customHeight="1">
      <c r="B140" s="6" t="s">
        <v>91</v>
      </c>
      <c r="D140" s="30">
        <f aca="true" t="shared" si="3" ref="D140:M140">IF($E$40&lt;D135," ",D139/(1+$D$108)^D135)</f>
        <v>-0.030075187969924738</v>
      </c>
      <c r="E140" s="30">
        <f t="shared" si="3"/>
        <v>-0.03192412699151687</v>
      </c>
      <c r="F140" s="30">
        <f t="shared" si="3"/>
        <v>-0.033886733648669135</v>
      </c>
      <c r="G140" s="30">
        <f t="shared" si="3"/>
        <v>-0.035969995911899165</v>
      </c>
      <c r="H140" s="30">
        <f t="shared" si="3"/>
        <v>-0.0381813313527466</v>
      </c>
      <c r="I140" s="30" t="str">
        <f t="shared" si="3"/>
        <v> </v>
      </c>
      <c r="J140" s="30" t="str">
        <f t="shared" si="3"/>
        <v> </v>
      </c>
      <c r="K140" s="30" t="str">
        <f t="shared" si="3"/>
        <v> </v>
      </c>
      <c r="L140" s="30" t="str">
        <f t="shared" si="3"/>
        <v> </v>
      </c>
      <c r="M140" s="30" t="str">
        <f t="shared" si="3"/>
        <v> </v>
      </c>
    </row>
    <row r="141" spans="3:8" s="6" customFormat="1" ht="19.5" customHeight="1">
      <c r="C141" s="30"/>
      <c r="D141" s="30"/>
      <c r="E141" s="30"/>
      <c r="F141" s="30"/>
      <c r="G141" s="30"/>
      <c r="H141" s="30"/>
    </row>
    <row r="142" spans="2:13" s="10" customFormat="1" ht="19.5" customHeight="1">
      <c r="B142" s="14" t="s">
        <v>92</v>
      </c>
      <c r="C142" s="6"/>
      <c r="D142" s="6"/>
      <c r="E142" s="13"/>
      <c r="F142" s="13"/>
      <c r="G142" s="6"/>
      <c r="H142" s="6"/>
      <c r="I142" s="6"/>
      <c r="J142" s="6"/>
      <c r="K142" s="27"/>
      <c r="L142" s="27"/>
      <c r="M142" s="27"/>
    </row>
    <row r="143" spans="2:14" s="6" customFormat="1" ht="19.5" customHeight="1">
      <c r="B143" s="10" t="s">
        <v>86</v>
      </c>
      <c r="C143" s="10"/>
      <c r="D143" s="32">
        <f>IF(E73&lt;1," ",E40+1)</f>
        <v>6</v>
      </c>
      <c r="E143" s="27">
        <f>IF($E$73&lt;2," ",$E$40+2)</f>
        <v>7</v>
      </c>
      <c r="F143" s="27">
        <f>IF($E$73&lt;3," ",$E$40+3)</f>
        <v>8</v>
      </c>
      <c r="G143" s="27">
        <f>IF($E$73&lt;4," ",$E$40+4)</f>
        <v>9</v>
      </c>
      <c r="H143" s="27">
        <f>IF($E$73&lt;5," ",$E$40+5)</f>
        <v>10</v>
      </c>
      <c r="I143" s="27">
        <f>IF($E$73&lt;6," ",$E$40+6)</f>
        <v>11</v>
      </c>
      <c r="J143" s="27">
        <f>IF($E$73&lt;7," ",$E$40+7)</f>
        <v>12</v>
      </c>
      <c r="K143" s="27">
        <f>IF($E$73&lt;8," ",$E$40+8)</f>
        <v>13</v>
      </c>
      <c r="L143" s="27">
        <f>IF($E$73&lt;9," ",$E$40+9)</f>
        <v>14</v>
      </c>
      <c r="M143" s="27">
        <f>IF($E$73&lt;10," ",$E$40+10)</f>
        <v>15</v>
      </c>
      <c r="N143" s="33" t="s">
        <v>93</v>
      </c>
    </row>
    <row r="144" spans="2:14" s="6" customFormat="1" ht="19.5" customHeight="1">
      <c r="B144" s="6" t="s">
        <v>73</v>
      </c>
      <c r="D144" s="28">
        <f>IF($E$73&lt;1,,$D$124-($D$124-$E$155)/$E$73)</f>
        <v>0.185</v>
      </c>
      <c r="E144" s="28">
        <f>IF($E$73&lt;2,,D144-($D$124-$E$155)/$E$73)</f>
        <v>0.16999999999999998</v>
      </c>
      <c r="F144" s="28">
        <f>IF($E$73&lt;3,,E144-($D$124-$E$155)/$E$73)</f>
        <v>0.15499999999999997</v>
      </c>
      <c r="G144" s="28">
        <f>IF($E$73&lt;4,,F144-($D$124-$E$155)/$E$73)</f>
        <v>0.13999999999999996</v>
      </c>
      <c r="H144" s="28">
        <f>IF($E$73&lt;5,,G144-($D$124-$E$155)/$E$73)</f>
        <v>0.12499999999999996</v>
      </c>
      <c r="I144" s="28">
        <f>IF($E$73&lt;6,,H144-($D$124-$E$155)/$E$73)</f>
        <v>0.10999999999999996</v>
      </c>
      <c r="J144" s="28">
        <f>IF($E$73&lt;7,,I144-($D$124-$E$155)/$E$73)</f>
        <v>0.09499999999999996</v>
      </c>
      <c r="K144" s="28">
        <f>IF($E$73&lt;8,,J144-($D$124-$E$155)/$E$73)</f>
        <v>0.07999999999999996</v>
      </c>
      <c r="L144" s="28">
        <f>IF($E$73&lt;9,,K144-($D$124-$E$155)/$E$73)</f>
        <v>0.06499999999999996</v>
      </c>
      <c r="M144" s="28">
        <f>IF($E$73&lt;10,,L144-($D$124-$E$155)/$E$73)</f>
        <v>0.04999999999999996</v>
      </c>
      <c r="N144" s="11"/>
    </row>
    <row r="145" spans="2:14" s="6" customFormat="1" ht="19.5" customHeight="1">
      <c r="B145" s="6" t="s">
        <v>94</v>
      </c>
      <c r="D145" s="28">
        <f>IF($E$73&lt;1,,D144)</f>
        <v>0.185</v>
      </c>
      <c r="E145" s="28">
        <f>IF($E$73&lt;2,,(1+D145)*(1+E144)-1)</f>
        <v>0.38644999999999996</v>
      </c>
      <c r="F145" s="28">
        <f>IF($E$73&lt;3,,(1+E145)*(1+F144)-1)</f>
        <v>0.60134975</v>
      </c>
      <c r="G145" s="28">
        <f>IF($E$73&lt;4,,(1+F145)*(1+G144)-1)</f>
        <v>0.8255387149999998</v>
      </c>
      <c r="H145" s="28">
        <f>IF($E$73&lt;5,,(1+G145)*(1+H144)-1)</f>
        <v>1.0537310543749996</v>
      </c>
      <c r="I145" s="28">
        <f>IF($E$73&lt;6,,(1+H145)*(1+I144)-1)</f>
        <v>1.2796414703562493</v>
      </c>
      <c r="J145" s="28">
        <f>IF($E$73&lt;7,,(1+I145)*(1+J144)-1)</f>
        <v>1.496207410040093</v>
      </c>
      <c r="K145" s="28">
        <f>IF($E$73&lt;8,,(1+J145)*(1+K144)-1)</f>
        <v>1.6959040028433008</v>
      </c>
      <c r="L145" s="28">
        <f>IF($E$73&lt;9,,(1+K145)*(1+L144)-1)</f>
        <v>1.8711377630281154</v>
      </c>
      <c r="M145" s="28">
        <f>IF($E$73&lt;10,,(1+L145)*(1+M144)-1)</f>
        <v>2.0146946511795214</v>
      </c>
      <c r="N145" s="11"/>
    </row>
    <row r="146" spans="2:14" s="6" customFormat="1" ht="19.5" customHeight="1">
      <c r="B146" s="6" t="s">
        <v>87</v>
      </c>
      <c r="D146" s="30">
        <f>IF($E$73&lt;1,0,$D$109*(1+$D$124)^$E$40*(1+$D$144))</f>
        <v>2.5063603199999998</v>
      </c>
      <c r="E146" s="30">
        <f>IF($E$73&lt;2,0,D146*(1+E144))</f>
        <v>2.9324415743999994</v>
      </c>
      <c r="F146" s="30">
        <f>IF($E$73&lt;3,0,E146*(1+F144))</f>
        <v>3.3869700184319993</v>
      </c>
      <c r="G146" s="30">
        <f>IF($E$73&lt;4,0,F146*(1+G144))</f>
        <v>3.861145821012479</v>
      </c>
      <c r="H146" s="30">
        <f>IF($E$73&lt;5,0,G146*(1+H144))</f>
        <v>4.343789048639039</v>
      </c>
      <c r="I146" s="30">
        <f>IF($E$73&lt;6,0,H146*(1+I144))</f>
        <v>4.821605843989333</v>
      </c>
      <c r="J146" s="30">
        <f>IF($E$73&lt;7,0,I146*(1+J144))</f>
        <v>5.279658399168319</v>
      </c>
      <c r="K146" s="30">
        <f>IF($E$73&lt;8,0,J146*(1+K144))</f>
        <v>5.702031071101785</v>
      </c>
      <c r="L146" s="30">
        <f>IF($E$73&lt;9,0,K146*(1+L144))</f>
        <v>6.072663090723401</v>
      </c>
      <c r="M146" s="30">
        <f>IF($E$73&lt;10,0,L146*(1+M144))</f>
        <v>6.376296245259571</v>
      </c>
      <c r="N146" s="34">
        <f>(D146*$D$153+E146*$E$153+F146*$F$153+G146*$G$153+H146*$H$153+I146*$I$153+J146*$J$153+K146*$K$153+L146*$L$153+M146*$M$153)*(1+$E$155)</f>
        <v>6.69511105752255</v>
      </c>
    </row>
    <row r="147" spans="2:14" s="6" customFormat="1" ht="19.5" customHeight="1">
      <c r="B147" s="31" t="s">
        <v>88</v>
      </c>
      <c r="C147" s="31"/>
      <c r="D147" s="30">
        <f>IF($E$73&lt;1,0,(IF($F$85="Yes",($D$25*(1+$D$128)^$E$40*(1+D145)-$D$26*(1+$D$129)^$E$40*(1+D145))*(1-$E$111),($D$25*(1+$D$128)^$E$40*(1+$E$128)^(D143-$E$40)-$D$26*(1+$D$129)^$E$40*(1+$E$129)^(D143-$E$40))*(1-$E$111))))</f>
        <v>0.5012720639999998</v>
      </c>
      <c r="E147" s="30">
        <f>IF($E$73&lt;2,0,(IF($F$85="Yes",($D$25*(1+$D$128)^$E$40*(1+E145)-$D$26*(1+$D$129)^$E$40*(1+E145))*(1-$E$111),($D$25*(1+$D$128)^$E$40*(1+$E$128)^(E143-$E$40)-$D$26*(1+$D$129)^$E$40*(1+$E$129)^(E143-$E$40))*(1-$E$111))))</f>
        <v>0.5864883148799999</v>
      </c>
      <c r="F147" s="30">
        <f>IF($E$73&lt;3,0,(IF($F$85="Yes",($D$25*(1+$D$128)^$E$40*(1+F145)-$D$26*(1+$D$129)^$E$40*(1+F145))*(1-$E$111),($D$25*(1+$D$128)^$E$40*(1+$E$128)^(F143-$E$40)-$D$26*(1+$D$129)^$E$40*(1+$E$129)^(F143-$E$40))*(1-$E$111))))</f>
        <v>0.6773940036863997</v>
      </c>
      <c r="G147" s="30">
        <f>IF($E$73&lt;4,0,(IF($F$85="Yes",($D$25*(1+$D$128)^$E$40*(1+G145)-$D$26*(1+$D$129)^$E$40*(1+G145))*(1-$E$111),($D$25*(1+$D$128)^$E$40*(1+$E$128)^(G143-$E$40)-$D$26*(1+$D$129)^$E$40*(1+$E$129)^(G143-$E$40))*(1-$E$111))))</f>
        <v>0.7722291642024959</v>
      </c>
      <c r="H147" s="30">
        <f>IF($E$73&lt;5,0,(IF($F$85="Yes",($D$25*(1+$D$128)^$E$40*(1+H145)-$D$26*(1+$D$129)^$E$40*(1+H145))*(1-$E$111),($D$25*(1+$D$128)^$E$40*(1+$E$128)^(H143-$E$40)-$D$26*(1+$D$129)^$E$40*(1+$E$129)^(H143-$E$40))*(1-$E$111))))</f>
        <v>0.8687578097278073</v>
      </c>
      <c r="I147" s="30">
        <f>IF($E$73&lt;6,0,(IF($F$85="Yes",($D$25*(1+$D$128)^$E$40*(1+I145)-$D$26*(1+$D$129)^$E$40*(1+I145))*(1-$E$111),($D$25*(1+$D$128)^$E$40*(1+$E$128)^(I143-$E$40)-$D$26*(1+$D$129)^$E$40*(1+$E$129)^(I143-$E$40))*(1-$E$111))))</f>
        <v>0.9643211687978667</v>
      </c>
      <c r="J147" s="30">
        <f>IF($E$73&lt;7,0,(IF($F$85="Yes",($D$25*(1+$D$128)^$E$40*(1+J145)-$D$26*(1+$D$129)^$E$40*(1+J145))*(1-$E$111),($D$25*(1+$D$128)^$E$40*(1+$E$128)^(J143-$E$40)-$D$26*(1+$D$129)^$E$40*(1+$E$129)^(J143-$E$40))*(1-$E$111))))</f>
        <v>1.0559316798336633</v>
      </c>
      <c r="K147" s="30">
        <f>IF($E$73&lt;8,0,(IF($F$85="Yes",($D$25*(1+$D$128)^$E$40*(1+K145)-$D$26*(1+$D$129)^$E$40*(1+K145))*(1-$E$111),($D$25*(1+$D$128)^$E$40*(1+$E$128)^(K143-$E$40)-$D$26*(1+$D$129)^$E$40*(1+$E$129)^(K143-$E$40))*(1-$E$111))))</f>
        <v>1.1404062142203573</v>
      </c>
      <c r="L147" s="30">
        <f>IF($E$73&lt;9,0,(IF($F$85="Yes",($D$25*(1+$D$128)^$E$40*(1+L145)-$D$26*(1+$D$129)^$E$40*(1+L145))*(1-$E$111),($D$25*(1+$D$128)^$E$40*(1+$E$128)^(L143-$E$40)-$D$26*(1+$D$129)^$E$40*(1+$E$129)^(L143-$E$40))*(1-$E$111))))</f>
        <v>1.2145326181446803</v>
      </c>
      <c r="M147" s="30">
        <f>IF($E$73&lt;10,0,(IF($F$85="Yes",($D$25*(1+$D$128)^$E$40*(1+M145)-$D$26*(1+$D$129)^$E$40*(1+M145))*(1-$E$111),($D$25*(1+$D$128)^$E$40*(1+$E$128)^(M143-$E$40)-$D$26*(1+$D$129)^$E$40*(1+$E$129)^(M143-$E$40))*(1-$E$111))))</f>
        <v>1.2752592490519143</v>
      </c>
      <c r="N147" s="34">
        <f>IF(F101="Yes",0,IF(F102="Yes",(E155/F103)*N146-N148,(F104-1)*D26*(1+MAX(D145:M145))*(1+D124)^E40*(1+E155)*(1-E111)))</f>
        <v>1.195555545986167</v>
      </c>
    </row>
    <row r="148" spans="2:14" s="6" customFormat="1" ht="19.5" customHeight="1">
      <c r="B148" s="31" t="s">
        <v>89</v>
      </c>
      <c r="C148" s="31"/>
      <c r="D148" s="30">
        <f>IF($E$73&lt;1,0,(IF($F$85="Yes",($D$27*(1+$D$130)^$E$40*(1+D145)-$D$27*(1+$D$130)^$E$40*(1+C145))*$E$132*(1-$E$112),($D$27*(1+$D$130)^$E$40*(1+$E$130)^(D143-$E$40)-$D$27*(1+$D$130)^$E$40*(1+$E$130)^(D143-$E$40-1))*$E$132*(1-$E$112))))</f>
        <v>1.956441600000001</v>
      </c>
      <c r="E148" s="30">
        <f>IF($E$73&lt;2,0,(IF($F$85="Yes",($D$27*(1+$D$130)^$E$40*(1+E145)-$D$27*(1+$D$130)^$E$40*(1+D145))*$E$132*(1-$E$112),($D$27*(1+$D$130)^$E$40*(1+$E$130)^(E143-$E$40)-$D$27*(1+$D$130)^$E$40*(1+$E$130)^(E143-$E$40-1))*$E$132*(1-$E$112))))</f>
        <v>2.1304062719999988</v>
      </c>
      <c r="F148" s="30">
        <f>IF($E$73&lt;3,0,(IF($F$85="Yes",($D$27*(1+$D$130)^$E$40*(1+F145)-$D$27*(1+$D$130)^$E$40*(1+E145))*$E$132*(1-$E$112),($D$27*(1+$D$130)^$E$40*(1+$E$130)^(F143-$E$40)-$D$27*(1+$D$130)^$E$40*(1+$E$130)^(F143-$E$40-1))*$E$132*(1-$E$112))))</f>
        <v>2.2726422201599994</v>
      </c>
      <c r="G148" s="30">
        <f>IF($E$73&lt;4,0,(IF($F$85="Yes",($D$27*(1+$D$130)^$E$40*(1+G145)-$D$27*(1+$D$130)^$E$40*(1+F145))*$E$132*(1-$E$112),($D$27*(1+$D$130)^$E$40*(1+$E$130)^(G143-$E$40)-$D$27*(1+$D$130)^$E$40*(1+$E$130)^(G143-$E$40-1))*$E$132*(1-$E$112))))</f>
        <v>2.3708790129023978</v>
      </c>
      <c r="H148" s="30">
        <f>IF($E$73&lt;5,0,(IF($F$85="Yes",($D$27*(1+$D$130)^$E$40*(1+H145)-$D$27*(1+$D$130)^$E$40*(1+G145))*$E$132*(1-$E$112),($D$27*(1+$D$130)^$E$40*(1+$E$130)^(H143-$E$40)-$D$27*(1+$D$130)^$E$40*(1+$E$130)^(H143-$E$40-1))*$E$132*(1-$E$112))))</f>
        <v>2.4132161381327992</v>
      </c>
      <c r="I148" s="30">
        <f>IF($E$73&lt;6,0,(IF($F$85="Yes",($D$27*(1+$D$130)^$E$40*(1+I145)-$D$27*(1+$D$130)^$E$40*(1+H145))*$E$132*(1-$E$112),($D$27*(1+$D$130)^$E$40*(1+$E$130)^(I143-$E$40)-$D$27*(1+$D$130)^$E$40*(1+$E$130)^(I143-$E$40-1))*$E$132*(1-$E$112))))</f>
        <v>2.3890839767514707</v>
      </c>
      <c r="J148" s="30">
        <f>IF($E$73&lt;7,0,(IF($F$85="Yes",($D$27*(1+$D$130)^$E$40*(1+J145)-$D$27*(1+$D$130)^$E$40*(1+I145))*$E$132*(1-$E$112),($D$27*(1+$D$130)^$E$40*(1+$E$130)^(J143-$E$40)-$D$27*(1+$D$130)^$E$40*(1+$E$130)^(J143-$E$40-1))*$E$132*(1-$E$112))))</f>
        <v>2.29026277589493</v>
      </c>
      <c r="K148" s="30">
        <f>IF($E$73&lt;8,0,(IF($F$85="Yes",($D$27*(1+$D$130)^$E$40*(1+K145)-$D$27*(1+$D$130)^$E$40*(1+J145))*$E$132*(1-$E$112),($D$27*(1+$D$130)^$E$40*(1+$E$130)^(K143-$E$40)-$D$27*(1+$D$130)^$E$40*(1+$E$130)^(K143-$E$40-1))*$E$132*(1-$E$112))))</f>
        <v>2.1118633596673337</v>
      </c>
      <c r="L148" s="30">
        <f>IF($E$73&lt;9,0,(IF($F$85="Yes",($D$27*(1+$D$130)^$E$40*(1+L145)-$D$27*(1+$D$130)^$E$40*(1+K145))*$E$132*(1-$E$112),($D$27*(1+$D$130)^$E$40*(1+$E$130)^(L143-$E$40)-$D$27*(1+$D$130)^$E$40*(1+$E$130)^(L143-$E$40-1))*$E$132*(1-$E$112))))</f>
        <v>1.8531600981080805</v>
      </c>
      <c r="M148" s="30">
        <f>IF($E$73&lt;10,0,(IF($F$85="Yes",($D$27*(1+$D$130)^$E$40*(1+M145)-$D$27*(1+$D$130)^$E$40*(1+L145))*$E$132*(1-$E$112),($D$27*(1+$D$130)^$E$40*(1+$E$130)^(M143-$E$40)-$D$27*(1+$D$130)^$E$40*(1+$E$130)^(M143-$E$40-1))*$E$132*(1-$E$112))))</f>
        <v>1.5181657726808526</v>
      </c>
      <c r="N148" s="34">
        <f>(D148*$D$153+E148*$E$153+F148*$F$153+G148*$G$153+H148*$H$153+I148*$I$153+J148*$J$153+K148*$K$153+L148*$L$153+M148*$M$153)*(1+F130)</f>
        <v>1.5940740613148954</v>
      </c>
    </row>
    <row r="149" spans="2:14" s="6" customFormat="1" ht="19.5" customHeight="1">
      <c r="B149" s="31" t="s">
        <v>90</v>
      </c>
      <c r="C149" s="31"/>
      <c r="D149" s="30">
        <f>IF($E$73&lt;1,0,D146-D147-D148)</f>
        <v>0.04864665599999918</v>
      </c>
      <c r="E149" s="30">
        <f>IF($E$73&lt;2,0,E146-E147-E148)</f>
        <v>0.21554698752000068</v>
      </c>
      <c r="F149" s="30">
        <f>IF($E$73&lt;3,0,F146-F147-F148)</f>
        <v>0.4369337945856002</v>
      </c>
      <c r="G149" s="30">
        <f>IF($E$73&lt;4,0,G146-G147-G148)</f>
        <v>0.7180376439075853</v>
      </c>
      <c r="H149" s="30">
        <f>IF($E$73&lt;5,0,H146-H147-H148)</f>
        <v>1.0618151007784324</v>
      </c>
      <c r="I149" s="30">
        <f>IF($E$73&lt;6,0,I146-I147-I148)</f>
        <v>1.4682006984399951</v>
      </c>
      <c r="J149" s="30">
        <f>IF($E$73&lt;7,0,J146-J147-J148)</f>
        <v>1.933463943439726</v>
      </c>
      <c r="K149" s="30">
        <f>IF($E$73&lt;8,0,K146-K147-K148)</f>
        <v>2.4497614972140935</v>
      </c>
      <c r="L149" s="30">
        <f>IF($E$73&lt;9,0,L146-L147-L148)</f>
        <v>3.0049703744706395</v>
      </c>
      <c r="M149" s="30">
        <f>IF($E$73&lt;10,0,M146-M147-M148)</f>
        <v>3.582871223526804</v>
      </c>
      <c r="N149" s="35">
        <f>N146-N147-N148</f>
        <v>3.9054814502214876</v>
      </c>
    </row>
    <row r="150" spans="2:14" s="6" customFormat="1" ht="19.5" customHeight="1">
      <c r="B150" s="6" t="s">
        <v>95</v>
      </c>
      <c r="D150" s="13">
        <f>IF($E$73&lt;1," ",(IF($F$75="Yes",$D$34-($D$34-($E$157-$D$35)/$D$36)/$E$73,$F$76)))</f>
        <v>1.08</v>
      </c>
      <c r="E150" s="13">
        <f>IF($E$73&lt;2," ",(IF($F$75="Yes",D150-($D$34-($E$157-$D$35)/$D$36)/$E$73,$F$76)))</f>
        <v>1.06</v>
      </c>
      <c r="F150" s="13">
        <f>IF($E$73&lt;3," ",(IF($F$75="Yes",E150-($D$34-($E$157-$D$35)/$D$36)/$E$73,$F$76)))</f>
        <v>1.04</v>
      </c>
      <c r="G150" s="13">
        <f>IF($E$73&lt;4," ",(IF($F$75="Yes",F150-($D$34-($E$157-$D$35)/$D$36)/$E$73,$F$76)))</f>
        <v>1.02</v>
      </c>
      <c r="H150" s="13">
        <f>IF($E$73&lt;5," ",(IF($F$75="Yes",G150-($D$34-($E$157-$D$35)/$D$36)/$E$73,$F$76)))</f>
        <v>1</v>
      </c>
      <c r="I150" s="13">
        <f>IF($E$73&lt;6," ",(IF($F$75="Yes",H150-($D$34-($E$157-$D$35)/$D$36)/$E$73,$F$76)))</f>
        <v>0.98</v>
      </c>
      <c r="J150" s="13">
        <f>IF($E$73&lt;7," ",(IF($F$75="Yes",I150-($D$34-($E$157-$D$35)/$D$36)/$E$73,$F$76)))</f>
        <v>0.96</v>
      </c>
      <c r="K150" s="13">
        <f>IF($E$73&lt;8," ",(IF($F$75="Yes",J150-($D$34-($E$157-$D$35)/$D$36)/$E$73,$F$76)))</f>
        <v>0.94</v>
      </c>
      <c r="L150" s="13">
        <f>IF($E$73&lt;9," ",(IF($F$75="Yes",K150-($D$34-($E$157-$D$35)/$D$36)/$E$73,$F$76)))</f>
        <v>0.9199999999999999</v>
      </c>
      <c r="M150" s="13">
        <f>IF($E$73&lt;10," ",(IF($F$75="Yes",L150-($D$34-($E$157-$D$35)/$D$36)/$E$73,$F$76)))</f>
        <v>0.8999999999999999</v>
      </c>
      <c r="N150" s="6">
        <f>M150</f>
        <v>0.8999999999999999</v>
      </c>
    </row>
    <row r="151" spans="2:14" s="6" customFormat="1" ht="19.5" customHeight="1">
      <c r="B151" s="6" t="s">
        <v>96</v>
      </c>
      <c r="D151" s="28">
        <f>IF($E$73&lt;1,0,$D$35+$D$36*D150)</f>
        <v>0.12940000000000002</v>
      </c>
      <c r="E151" s="28">
        <f>IF($E$73&lt;2,0,$D$35+$D$36*E150)</f>
        <v>0.12830000000000003</v>
      </c>
      <c r="F151" s="28">
        <f>IF($E$73&lt;3,0,$D$35+$D$36*F150)</f>
        <v>0.1272</v>
      </c>
      <c r="G151" s="28">
        <f>IF($E$73&lt;4,0,$D$35+$D$36*G150)</f>
        <v>0.12610000000000002</v>
      </c>
      <c r="H151" s="28">
        <f>IF($E$73&lt;5,0,$D$35+$D$36*H150)</f>
        <v>0.125</v>
      </c>
      <c r="I151" s="28">
        <f>IF($E$73&lt;6,0,$D$35+$D$36*I150)</f>
        <v>0.12390000000000001</v>
      </c>
      <c r="J151" s="28">
        <f>IF($E$73&lt;7,0,$D$35+$D$36*J150)</f>
        <v>0.1228</v>
      </c>
      <c r="K151" s="28">
        <f>IF($E$73&lt;8,0,$D$35+$D$36*K150)</f>
        <v>0.1217</v>
      </c>
      <c r="L151" s="28">
        <f>IF($E$73&lt;9,0,$D$35+$D$36*L150)</f>
        <v>0.12060000000000001</v>
      </c>
      <c r="M151" s="28">
        <f>IF($E$73&lt;10,0,$D$35+$D$36*M150)</f>
        <v>0.1195</v>
      </c>
      <c r="N151" s="12">
        <f>M151</f>
        <v>0.1195</v>
      </c>
    </row>
    <row r="152" spans="2:13" s="6" customFormat="1" ht="19.5" customHeight="1">
      <c r="B152" s="6" t="s">
        <v>91</v>
      </c>
      <c r="D152" s="30">
        <f>IF($E$73&lt;1," ",D149/(((1+$D$108)^$E$40)*(1+D151)))</f>
        <v>0.0233266501092567</v>
      </c>
      <c r="E152" s="30">
        <f>IF($E$73&lt;2," ",E149/(((1+$D$108)^$E$40)*(1+D151)*(1+E151)))</f>
        <v>0.0916044881924865</v>
      </c>
      <c r="F152" s="30">
        <f>IF($E$73&lt;3," ",F149/(((1+$D$108)^$E$40)*(1+D151)*(1+E151)*(1+F151)))</f>
        <v>0.16473635460779673</v>
      </c>
      <c r="G152" s="30">
        <f>IF($E$73&lt;4," ",G149/(((1+$D$108)^$E$40)*(1+D151)*(1+E151)*(1+F151)*(1+G151)))</f>
        <v>0.24040531757026332</v>
      </c>
      <c r="H152" s="30">
        <f>IF($E$73&lt;5," ",H149/(((1+$D$108)^$E$40)*(1+D151)*(1+E151)*(1+F151)*(1+G151)*(1+H151)))</f>
        <v>0.31600447403889914</v>
      </c>
      <c r="I152" s="30">
        <f>IF($E$73&lt;6," ",I149/(((1+$D$108)^$E$40)*(1+D151)*(1+E151)*(1+F151)*(1+G151)*(1+H151)*(1+I151)))</f>
        <v>0.3887783651191592</v>
      </c>
      <c r="J152" s="30">
        <f>IF($E$73&lt;7," ",J149/(((1+$D$108)^$E$40)*(1+D151)*(1+E151)*(1+F151)*(1+G151)*(1+H151)*(1+I151)*(1+J151)))</f>
        <v>0.45598476889504175</v>
      </c>
      <c r="K152" s="30">
        <f>IF($E$73&lt;8," ",K149/(((1+$D$108)^$E$40)*(1+D151)*(1+E151)*(1+F151)*(1+G151)*(1+H151)*(1+I151)*(1+J151)*(1+K151)))</f>
        <v>0.5150641746800685</v>
      </c>
      <c r="L152" s="30">
        <f>IF($E$73&lt;9," ",L149/(((1+$D$108)^$E$40)*(1+D151)*(1+E151)*(1+F151)*(1+G151)*(1+H151)*(1+I151)*(1+J151)*(1+K151)*(1+L151)))</f>
        <v>0.5638026535601858</v>
      </c>
      <c r="M152" s="30">
        <f>IF($E$73&lt;10," ",M149/(((1+$D$108)^$E$40)*(1+D151)*(1+E151)*(1+F151)*(1+G151)*(1+H151)*(1+I151)*(1+J151)*(1+K151)*(1+L151)*(1+M151)))</f>
        <v>0.6004737432161156</v>
      </c>
    </row>
    <row r="153" spans="2:13" s="6" customFormat="1" ht="19.5" customHeight="1">
      <c r="B153" s="6" t="s">
        <v>97</v>
      </c>
      <c r="D153" s="13">
        <f>IF(E73=1,1,0)</f>
        <v>0</v>
      </c>
      <c r="E153" s="13">
        <f>IF(E73=2,1,0)</f>
        <v>0</v>
      </c>
      <c r="F153" s="13">
        <f>IF(E73=3,1,0)</f>
        <v>0</v>
      </c>
      <c r="G153" s="13">
        <f>IF(E73=4,1,0)</f>
        <v>0</v>
      </c>
      <c r="H153" s="13">
        <f>IF(E73=5,1,0)</f>
        <v>0</v>
      </c>
      <c r="I153" s="13">
        <f>IF(E73=6,1,0)</f>
        <v>0</v>
      </c>
      <c r="J153" s="13">
        <f>IF(E73=7,1,0)</f>
        <v>0</v>
      </c>
      <c r="K153" s="13">
        <f>IF(E73=8,1,0)</f>
        <v>0</v>
      </c>
      <c r="L153" s="13">
        <f>IF(E73=9,1,0)</f>
        <v>0</v>
      </c>
      <c r="M153" s="13">
        <f>IF(E73=10,1,0)</f>
        <v>1</v>
      </c>
    </row>
    <row r="154" s="6" customFormat="1" ht="19.5" customHeight="1">
      <c r="B154" s="14" t="s">
        <v>98</v>
      </c>
    </row>
    <row r="155" spans="2:6" s="6" customFormat="1" ht="19.5" customHeight="1">
      <c r="B155" s="6" t="s">
        <v>99</v>
      </c>
      <c r="E155" s="18">
        <f>E79</f>
        <v>0.05</v>
      </c>
      <c r="F155" s="13"/>
    </row>
    <row r="156" spans="2:6" s="6" customFormat="1" ht="19.5" customHeight="1">
      <c r="B156" s="6" t="s">
        <v>100</v>
      </c>
      <c r="E156" s="9">
        <f>N149</f>
        <v>3.9054814502214876</v>
      </c>
      <c r="F156" s="13"/>
    </row>
    <row r="157" spans="2:6" s="6" customFormat="1" ht="19.5" customHeight="1">
      <c r="B157" s="6" t="s">
        <v>101</v>
      </c>
      <c r="E157" s="18">
        <f>IF(E81="No",D35+D34*D36,D35+E82*D36)</f>
        <v>0.11950000000000001</v>
      </c>
      <c r="F157" s="13"/>
    </row>
    <row r="158" spans="2:6" s="6" customFormat="1" ht="19.5" customHeight="1">
      <c r="B158" s="6" t="s">
        <v>102</v>
      </c>
      <c r="E158" s="9">
        <f>E156/(E157-E155)</f>
        <v>56.193977701028594</v>
      </c>
      <c r="F158" s="13"/>
    </row>
    <row r="159" spans="5:6" s="6" customFormat="1" ht="19.5" customHeight="1">
      <c r="E159" s="13"/>
      <c r="F159" s="13"/>
    </row>
    <row r="160" spans="2:6" s="6" customFormat="1" ht="19.5" customHeight="1">
      <c r="B160" s="14" t="s">
        <v>103</v>
      </c>
      <c r="C160" s="14"/>
      <c r="D160" s="14"/>
      <c r="E160" s="36"/>
      <c r="F160" s="37">
        <f>SUM(D140:M140)</f>
        <v>-0.1700373758747565</v>
      </c>
    </row>
    <row r="161" spans="2:6" s="6" customFormat="1" ht="19.5" customHeight="1">
      <c r="B161" s="14" t="s">
        <v>104</v>
      </c>
      <c r="C161" s="14"/>
      <c r="D161" s="14"/>
      <c r="E161" s="36"/>
      <c r="F161" s="37">
        <f>SUM(D152:M152)</f>
        <v>3.3601809899892734</v>
      </c>
    </row>
    <row r="162" spans="2:6" s="6" customFormat="1" ht="19.5" customHeight="1">
      <c r="B162" s="14" t="s">
        <v>105</v>
      </c>
      <c r="C162" s="14"/>
      <c r="D162" s="14"/>
      <c r="E162" s="36"/>
      <c r="F162" s="37">
        <f>E158/((1+D108)^E40*(1+D151)*(1+E151)*(1+F151)*(1+G151)*(1+H151)*(1+I151)*(1+J151)*(1+K151)*(1+L151)*(1+M151))</f>
        <v>9.417867969902808</v>
      </c>
    </row>
    <row r="163" spans="2:6" s="6" customFormat="1" ht="19.5" customHeight="1">
      <c r="B163" s="14" t="s">
        <v>106</v>
      </c>
      <c r="C163" s="14"/>
      <c r="D163" s="14"/>
      <c r="E163" s="36"/>
      <c r="F163" s="37">
        <f>SUM(F160:F162)</f>
        <v>12.608011584017325</v>
      </c>
    </row>
    <row r="164" spans="2:7" ht="15">
      <c r="B164" s="3"/>
      <c r="C164" s="3"/>
      <c r="D164" s="3"/>
      <c r="E164" s="4"/>
      <c r="F164" s="4"/>
      <c r="G164" s="3"/>
    </row>
  </sheetData>
  <sheetProtection/>
  <printOptions/>
  <pageMargins left="0.75" right="0.75" top="1" bottom="1" header="0.5" footer="0.5"/>
  <pageSetup orientation="portrait" r:id="rId2"/>
  <headerFooter alignWithMargins="0">
    <oddHeader>&amp;C Three-stage FCFE Model</oddHeader>
    <oddFooter>&amp;CPage &amp;p</oddFooter>
  </headerFooter>
  <rowBreaks count="4" manualBreakCount="4">
    <brk id="20" max="65535" man="1"/>
    <brk id="66" max="65535" man="1"/>
    <brk id="103" max="65535" man="1"/>
    <brk id="11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1998-07-02T05:02:50Z</dcterms:created>
  <dcterms:modified xsi:type="dcterms:W3CDTF">2011-06-16T06:51:46Z</dcterms:modified>
  <cp:category/>
  <cp:version/>
  <cp:contentType/>
  <cp:contentStatus/>
</cp:coreProperties>
</file>