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3395" windowHeight="6180"/>
  </bookViews>
  <sheets>
    <sheet name="Question 1" sheetId="1" r:id="rId1"/>
    <sheet name="Question 2" sheetId="3" r:id="rId2"/>
    <sheet name="Question 3" sheetId="2" r:id="rId3"/>
  </sheets>
  <definedNames>
    <definedName name="solver_adj" localSheetId="0" hidden="1">'Question 1'!$C$22:$C$26</definedName>
    <definedName name="solver_adj" localSheetId="1" hidden="1">'Question 2'!$C$31:$C$35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2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2147483647</definedName>
    <definedName name="solver_lhs1" localSheetId="0" hidden="1">'Question 1'!$C$22</definedName>
    <definedName name="solver_lhs1" localSheetId="1" hidden="1">'Question 2'!$C$31</definedName>
    <definedName name="solver_lhs2" localSheetId="0" hidden="1">'Question 1'!$C$23</definedName>
    <definedName name="solver_lhs2" localSheetId="1" hidden="1">'Question 2'!$C$32</definedName>
    <definedName name="solver_lhs3" localSheetId="0" hidden="1">'Question 1'!$C$24</definedName>
    <definedName name="solver_lhs3" localSheetId="1" hidden="1">'Question 2'!$C$33</definedName>
    <definedName name="solver_lhs4" localSheetId="0" hidden="1">'Question 1'!$C$25</definedName>
    <definedName name="solver_lhs4" localSheetId="1" hidden="1">'Question 2'!$C$34</definedName>
    <definedName name="solver_lhs5" localSheetId="0" hidden="1">'Question 1'!$C$26</definedName>
    <definedName name="solver_lhs5" localSheetId="1" hidden="1">'Question 2'!$C$35</definedName>
    <definedName name="solver_lhs6" localSheetId="0" hidden="1">'Question 1'!$C$27</definedName>
    <definedName name="solver_lhs6" localSheetId="1" hidden="1">'Question 2'!$C$36</definedName>
    <definedName name="solver_lin" localSheetId="0" hidden="1">2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2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6</definedName>
    <definedName name="solver_num" localSheetId="1" hidden="1">6</definedName>
    <definedName name="solver_nwt" localSheetId="0" hidden="1">1</definedName>
    <definedName name="solver_nwt" localSheetId="1" hidden="1">1</definedName>
    <definedName name="solver_opt" localSheetId="0" hidden="1">'Question 1'!$E$28</definedName>
    <definedName name="solver_opt" localSheetId="1" hidden="1">'Question 2'!$E$37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2</definedName>
    <definedName name="solver_rel1" localSheetId="0" hidden="1">3</definedName>
    <definedName name="solver_rel1" localSheetId="1" hidden="1">3</definedName>
    <definedName name="solver_rel2" localSheetId="0" hidden="1">3</definedName>
    <definedName name="solver_rel2" localSheetId="1" hidden="1">3</definedName>
    <definedName name="solver_rel3" localSheetId="0" hidden="1">2</definedName>
    <definedName name="solver_rel3" localSheetId="1" hidden="1">3</definedName>
    <definedName name="solver_rel4" localSheetId="0" hidden="1">3</definedName>
    <definedName name="solver_rel4" localSheetId="1" hidden="1">3</definedName>
    <definedName name="solver_rel5" localSheetId="0" hidden="1">3</definedName>
    <definedName name="solver_rel5" localSheetId="1" hidden="1">3</definedName>
    <definedName name="solver_rel6" localSheetId="0" hidden="1">2</definedName>
    <definedName name="solver_rel6" localSheetId="1" hidden="1">2</definedName>
    <definedName name="solver_rhs1" localSheetId="0" hidden="1">0</definedName>
    <definedName name="solver_rhs1" localSheetId="1" hidden="1">0</definedName>
    <definedName name="solver_rhs2" localSheetId="0" hidden="1">0</definedName>
    <definedName name="solver_rhs2" localSheetId="1" hidden="1">0</definedName>
    <definedName name="solver_rhs3" localSheetId="0" hidden="1">0.3</definedName>
    <definedName name="solver_rhs3" localSheetId="1" hidden="1">0</definedName>
    <definedName name="solver_rhs4" localSheetId="0" hidden="1">0</definedName>
    <definedName name="solver_rhs4" localSheetId="1" hidden="1">0</definedName>
    <definedName name="solver_rhs5" localSheetId="0" hidden="1">0</definedName>
    <definedName name="solver_rhs5" localSheetId="1" hidden="1">0</definedName>
    <definedName name="solver_rhs6" localSheetId="0" hidden="1">1</definedName>
    <definedName name="solver_rhs6" localSheetId="1" hidden="1">1</definedName>
    <definedName name="solver_rlx" localSheetId="0" hidden="1">1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100</definedName>
    <definedName name="solver_tim" localSheetId="1" hidden="1">2147483647</definedName>
    <definedName name="solver_tol" localSheetId="0" hidden="1">0.05</definedName>
    <definedName name="solver_tol" localSheetId="1" hidden="1">0.01</definedName>
    <definedName name="solver_typ" localSheetId="0" hidden="1">3</definedName>
    <definedName name="solver_typ" localSheetId="1" hidden="1">3</definedName>
    <definedName name="solver_val" localSheetId="0" hidden="1">8.793356131</definedName>
    <definedName name="solver_val" localSheetId="1" hidden="1">9.708738</definedName>
    <definedName name="solver_ver" localSheetId="0" hidden="1">3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J20" i="2" l="1"/>
  <c r="U42" i="2" l="1"/>
  <c r="U41" i="2"/>
  <c r="U40" i="2"/>
  <c r="U39" i="2"/>
  <c r="U38" i="2"/>
  <c r="U37" i="2"/>
  <c r="U36" i="2"/>
  <c r="U35" i="2"/>
  <c r="U34" i="2"/>
  <c r="U33" i="2"/>
  <c r="X52" i="3" l="1"/>
  <c r="X51" i="3"/>
  <c r="X50" i="3"/>
  <c r="X49" i="3"/>
  <c r="X48" i="3"/>
  <c r="B48" i="3"/>
  <c r="X47" i="3"/>
  <c r="B47" i="3"/>
  <c r="X46" i="3"/>
  <c r="X45" i="3"/>
  <c r="X44" i="3"/>
  <c r="X43" i="3"/>
  <c r="D43" i="3"/>
  <c r="X42" i="3"/>
  <c r="S42" i="3"/>
  <c r="X41" i="3"/>
  <c r="S41" i="3"/>
  <c r="X40" i="3"/>
  <c r="S40" i="3"/>
  <c r="X39" i="3"/>
  <c r="S39" i="3"/>
  <c r="X38" i="3"/>
  <c r="S38" i="3"/>
  <c r="X37" i="3"/>
  <c r="S37" i="3"/>
  <c r="E37" i="3"/>
  <c r="X36" i="3"/>
  <c r="S36" i="3"/>
  <c r="C36" i="3"/>
  <c r="X35" i="3"/>
  <c r="S35" i="3"/>
  <c r="X34" i="3"/>
  <c r="S34" i="3"/>
  <c r="X33" i="3"/>
  <c r="S33" i="3"/>
  <c r="X32" i="3"/>
  <c r="S32" i="3"/>
  <c r="X31" i="3"/>
  <c r="S31" i="3"/>
  <c r="X30" i="3"/>
  <c r="S30" i="3"/>
  <c r="X29" i="3"/>
  <c r="S29" i="3"/>
  <c r="X28" i="3"/>
  <c r="S28" i="3"/>
  <c r="N28" i="3"/>
  <c r="X27" i="3"/>
  <c r="S27" i="3"/>
  <c r="N27" i="3"/>
  <c r="X26" i="3"/>
  <c r="S26" i="3"/>
  <c r="N26" i="3"/>
  <c r="X25" i="3"/>
  <c r="S25" i="3"/>
  <c r="N25" i="3"/>
  <c r="X24" i="3"/>
  <c r="S24" i="3"/>
  <c r="N24" i="3"/>
  <c r="I24" i="3"/>
  <c r="X23" i="3"/>
  <c r="S23" i="3"/>
  <c r="N23" i="3"/>
  <c r="I23" i="3"/>
  <c r="X22" i="3"/>
  <c r="S22" i="3"/>
  <c r="N22" i="3"/>
  <c r="I22" i="3"/>
  <c r="X21" i="3"/>
  <c r="S21" i="3"/>
  <c r="N21" i="3"/>
  <c r="I21" i="3"/>
  <c r="X20" i="3"/>
  <c r="S20" i="3"/>
  <c r="N20" i="3"/>
  <c r="I20" i="3"/>
  <c r="X19" i="3"/>
  <c r="S19" i="3"/>
  <c r="N19" i="3"/>
  <c r="I19" i="3"/>
  <c r="X18" i="3"/>
  <c r="S18" i="3"/>
  <c r="N18" i="3"/>
  <c r="I18" i="3"/>
  <c r="D18" i="3"/>
  <c r="X17" i="3"/>
  <c r="S17" i="3"/>
  <c r="N17" i="3"/>
  <c r="I17" i="3"/>
  <c r="D17" i="3"/>
  <c r="X16" i="3"/>
  <c r="S16" i="3"/>
  <c r="N16" i="3"/>
  <c r="I16" i="3"/>
  <c r="D16" i="3"/>
  <c r="X15" i="3"/>
  <c r="S15" i="3"/>
  <c r="N15" i="3"/>
  <c r="I15" i="3"/>
  <c r="D15" i="3"/>
  <c r="X14" i="3"/>
  <c r="S14" i="3"/>
  <c r="N14" i="3"/>
  <c r="I14" i="3"/>
  <c r="D14" i="3"/>
  <c r="X13" i="3"/>
  <c r="S13" i="3"/>
  <c r="N13" i="3"/>
  <c r="I13" i="3"/>
  <c r="D13" i="3"/>
  <c r="B10" i="3"/>
  <c r="B7" i="3"/>
  <c r="Y30" i="3" l="1"/>
  <c r="Z30" i="3" s="1"/>
  <c r="Y28" i="3"/>
  <c r="Z28" i="3" s="1"/>
  <c r="N29" i="3"/>
  <c r="O14" i="3" s="1"/>
  <c r="P14" i="3" s="1"/>
  <c r="S43" i="3"/>
  <c r="T27" i="3" s="1"/>
  <c r="U27" i="3" s="1"/>
  <c r="I25" i="3"/>
  <c r="J20" i="3" s="1"/>
  <c r="K20" i="3" s="1"/>
  <c r="B52" i="3"/>
  <c r="D19" i="3"/>
  <c r="E15" i="3" s="1"/>
  <c r="F15" i="3" s="1"/>
  <c r="X53" i="3"/>
  <c r="Y16" i="3" s="1"/>
  <c r="Z16" i="3" s="1"/>
  <c r="Y19" i="3"/>
  <c r="Z19" i="3" s="1"/>
  <c r="Y22" i="3"/>
  <c r="Z22" i="3" s="1"/>
  <c r="T28" i="3"/>
  <c r="U28" i="3" s="1"/>
  <c r="Y33" i="3"/>
  <c r="Z33" i="3" s="1"/>
  <c r="Y48" i="3"/>
  <c r="Z48" i="3" s="1"/>
  <c r="O13" i="3"/>
  <c r="P13" i="3" s="1"/>
  <c r="Y47" i="3"/>
  <c r="Z47" i="3" s="1"/>
  <c r="Y38" i="3"/>
  <c r="Z38" i="3" s="1"/>
  <c r="Y46" i="3"/>
  <c r="Z46" i="3" s="1"/>
  <c r="F26" i="2"/>
  <c r="E26" i="2"/>
  <c r="D26" i="2"/>
  <c r="D25" i="2"/>
  <c r="T41" i="3" l="1"/>
  <c r="U41" i="3" s="1"/>
  <c r="E13" i="3"/>
  <c r="F13" i="3" s="1"/>
  <c r="E16" i="3"/>
  <c r="F16" i="3" s="1"/>
  <c r="O17" i="3"/>
  <c r="P17" i="3" s="1"/>
  <c r="O21" i="3"/>
  <c r="P21" i="3" s="1"/>
  <c r="J19" i="3"/>
  <c r="K19" i="3" s="1"/>
  <c r="O24" i="3"/>
  <c r="P24" i="3" s="1"/>
  <c r="O26" i="3"/>
  <c r="P26" i="3" s="1"/>
  <c r="O25" i="3"/>
  <c r="P25" i="3" s="1"/>
  <c r="O15" i="3"/>
  <c r="P15" i="3" s="1"/>
  <c r="O27" i="3"/>
  <c r="P27" i="3" s="1"/>
  <c r="O16" i="3"/>
  <c r="P16" i="3" s="1"/>
  <c r="O18" i="3"/>
  <c r="P18" i="3" s="1"/>
  <c r="O22" i="3"/>
  <c r="P22" i="3" s="1"/>
  <c r="O19" i="3"/>
  <c r="P19" i="3" s="1"/>
  <c r="Y49" i="3"/>
  <c r="Z49" i="3" s="1"/>
  <c r="Y52" i="3"/>
  <c r="Z52" i="3" s="1"/>
  <c r="Y13" i="3"/>
  <c r="Z13" i="3" s="1"/>
  <c r="Y36" i="3"/>
  <c r="Z36" i="3" s="1"/>
  <c r="Y23" i="3"/>
  <c r="Z23" i="3" s="1"/>
  <c r="Y17" i="3"/>
  <c r="Z17" i="3" s="1"/>
  <c r="T43" i="3"/>
  <c r="T35" i="3"/>
  <c r="U35" i="3" s="1"/>
  <c r="T42" i="3"/>
  <c r="U42" i="3" s="1"/>
  <c r="T38" i="3"/>
  <c r="U38" i="3" s="1"/>
  <c r="T40" i="3"/>
  <c r="U40" i="3" s="1"/>
  <c r="T24" i="3"/>
  <c r="U24" i="3" s="1"/>
  <c r="T22" i="3"/>
  <c r="U22" i="3" s="1"/>
  <c r="T31" i="3"/>
  <c r="U31" i="3" s="1"/>
  <c r="T25" i="3"/>
  <c r="U25" i="3" s="1"/>
  <c r="T23" i="3"/>
  <c r="U23" i="3" s="1"/>
  <c r="T21" i="3"/>
  <c r="U21" i="3" s="1"/>
  <c r="T19" i="3"/>
  <c r="U19" i="3" s="1"/>
  <c r="T33" i="3"/>
  <c r="U33" i="3" s="1"/>
  <c r="T29" i="3"/>
  <c r="U29" i="3" s="1"/>
  <c r="T20" i="3"/>
  <c r="U20" i="3" s="1"/>
  <c r="T26" i="3"/>
  <c r="U26" i="3" s="1"/>
  <c r="T17" i="3"/>
  <c r="U17" i="3" s="1"/>
  <c r="T16" i="3"/>
  <c r="U16" i="3" s="1"/>
  <c r="Y53" i="3"/>
  <c r="Y45" i="3"/>
  <c r="Z45" i="3" s="1"/>
  <c r="Y14" i="3"/>
  <c r="Z14" i="3" s="1"/>
  <c r="Y18" i="3"/>
  <c r="Z18" i="3" s="1"/>
  <c r="Y26" i="3"/>
  <c r="Z26" i="3" s="1"/>
  <c r="Y44" i="3"/>
  <c r="Z44" i="3" s="1"/>
  <c r="Y35" i="3"/>
  <c r="Z35" i="3" s="1"/>
  <c r="T15" i="3"/>
  <c r="U15" i="3" s="1"/>
  <c r="Y27" i="3"/>
  <c r="Z27" i="3" s="1"/>
  <c r="T18" i="3"/>
  <c r="U18" i="3" s="1"/>
  <c r="Y43" i="3"/>
  <c r="Z43" i="3" s="1"/>
  <c r="T37" i="3"/>
  <c r="U37" i="3" s="1"/>
  <c r="Y39" i="3"/>
  <c r="Z39" i="3" s="1"/>
  <c r="Y40" i="3"/>
  <c r="Z40" i="3" s="1"/>
  <c r="Y31" i="3"/>
  <c r="Z31" i="3" s="1"/>
  <c r="Y25" i="3"/>
  <c r="Z25" i="3" s="1"/>
  <c r="Y21" i="3"/>
  <c r="Z21" i="3" s="1"/>
  <c r="E19" i="3"/>
  <c r="E18" i="3"/>
  <c r="F18" i="3" s="1"/>
  <c r="Y41" i="3"/>
  <c r="Z41" i="3" s="1"/>
  <c r="T34" i="3"/>
  <c r="U34" i="3" s="1"/>
  <c r="J23" i="3"/>
  <c r="K23" i="3" s="1"/>
  <c r="Y15" i="3"/>
  <c r="Z15" i="3" s="1"/>
  <c r="Y32" i="3"/>
  <c r="Z32" i="3" s="1"/>
  <c r="Y37" i="3"/>
  <c r="Z37" i="3" s="1"/>
  <c r="J22" i="3"/>
  <c r="K22" i="3" s="1"/>
  <c r="E17" i="3"/>
  <c r="F17" i="3" s="1"/>
  <c r="Y42" i="3"/>
  <c r="Z42" i="3" s="1"/>
  <c r="T36" i="3"/>
  <c r="U36" i="3" s="1"/>
  <c r="J18" i="3"/>
  <c r="K18" i="3" s="1"/>
  <c r="T14" i="3"/>
  <c r="U14" i="3" s="1"/>
  <c r="Y51" i="3"/>
  <c r="Z51" i="3" s="1"/>
  <c r="T39" i="3"/>
  <c r="U39" i="3" s="1"/>
  <c r="Y29" i="3"/>
  <c r="Z29" i="3" s="1"/>
  <c r="Y24" i="3"/>
  <c r="Z24" i="3" s="1"/>
  <c r="Y20" i="3"/>
  <c r="Z20" i="3" s="1"/>
  <c r="Y50" i="3"/>
  <c r="Z50" i="3" s="1"/>
  <c r="J24" i="3"/>
  <c r="K24" i="3" s="1"/>
  <c r="T30" i="3"/>
  <c r="U30" i="3" s="1"/>
  <c r="J21" i="3"/>
  <c r="K21" i="3" s="1"/>
  <c r="T13" i="3"/>
  <c r="U13" i="3" s="1"/>
  <c r="O29" i="3"/>
  <c r="O28" i="3"/>
  <c r="P28" i="3" s="1"/>
  <c r="O20" i="3"/>
  <c r="P20" i="3" s="1"/>
  <c r="T32" i="3"/>
  <c r="U32" i="3" s="1"/>
  <c r="Y34" i="3"/>
  <c r="Z34" i="3" s="1"/>
  <c r="O23" i="3"/>
  <c r="P23" i="3" s="1"/>
  <c r="E14" i="3"/>
  <c r="F14" i="3" s="1"/>
  <c r="B51" i="3"/>
  <c r="J25" i="3"/>
  <c r="J16" i="3"/>
  <c r="K16" i="3" s="1"/>
  <c r="J14" i="3"/>
  <c r="K14" i="3" s="1"/>
  <c r="J15" i="3"/>
  <c r="K15" i="3" s="1"/>
  <c r="J17" i="3"/>
  <c r="K17" i="3" s="1"/>
  <c r="J13" i="3"/>
  <c r="K13" i="3" s="1"/>
  <c r="E25" i="2"/>
  <c r="F19" i="3" l="1"/>
  <c r="B13" i="3" s="1"/>
  <c r="P29" i="3"/>
  <c r="B15" i="3" s="1"/>
  <c r="Z53" i="3"/>
  <c r="B17" i="3" s="1"/>
  <c r="U43" i="3"/>
  <c r="B16" i="3" s="1"/>
  <c r="K25" i="3"/>
  <c r="B14" i="3" s="1"/>
  <c r="E24" i="2"/>
  <c r="D24" i="2"/>
  <c r="F25" i="2"/>
  <c r="E23" i="2" l="1"/>
  <c r="D23" i="2"/>
  <c r="F24" i="2"/>
  <c r="B41" i="1"/>
  <c r="B40" i="1"/>
  <c r="B39" i="1"/>
  <c r="B43" i="1" s="1"/>
  <c r="D35" i="1"/>
  <c r="E28" i="1"/>
  <c r="B10" i="1"/>
  <c r="B7" i="1"/>
  <c r="D22" i="2" l="1"/>
  <c r="F23" i="2"/>
  <c r="C27" i="1"/>
  <c r="J19" i="2" l="1"/>
  <c r="E22" i="2"/>
  <c r="E21" i="2" l="1"/>
  <c r="D21" i="2"/>
  <c r="S17" i="2"/>
  <c r="T18" i="2" s="1"/>
  <c r="S20" i="2"/>
  <c r="T21" i="2" s="1"/>
  <c r="S19" i="2"/>
  <c r="T20" i="2" s="1"/>
  <c r="S18" i="2"/>
  <c r="T19" i="2" s="1"/>
  <c r="S22" i="2"/>
  <c r="T23" i="2" s="1"/>
  <c r="U23" i="2" s="1"/>
  <c r="S23" i="2" s="1"/>
  <c r="S21" i="2"/>
  <c r="T22" i="2" s="1"/>
  <c r="F22" i="2"/>
  <c r="T24" i="2" l="1"/>
  <c r="U24" i="2" s="1"/>
  <c r="S24" i="2" s="1"/>
  <c r="D20" i="2"/>
  <c r="F21" i="2"/>
  <c r="S25" i="2" l="1"/>
  <c r="T25" i="2"/>
  <c r="U25" i="2" s="1"/>
  <c r="E20" i="2"/>
  <c r="T26" i="2" l="1"/>
  <c r="U26" i="2" s="1"/>
  <c r="S26" i="2" s="1"/>
  <c r="T27" i="2" s="1"/>
  <c r="U27" i="2" s="1"/>
  <c r="D19" i="2"/>
  <c r="E19" i="2"/>
  <c r="F20" i="2"/>
  <c r="E18" i="2" l="1"/>
  <c r="D18" i="2"/>
  <c r="F19" i="2"/>
  <c r="J18" i="2"/>
  <c r="Q20" i="2" l="1"/>
  <c r="Q19" i="2"/>
  <c r="R20" i="2" s="1"/>
  <c r="U20" i="2" s="1"/>
  <c r="Q17" i="2"/>
  <c r="R18" i="2" s="1"/>
  <c r="Q18" i="2"/>
  <c r="R19" i="2" s="1"/>
  <c r="J17" i="2"/>
  <c r="F18" i="2"/>
  <c r="D17" i="2"/>
  <c r="O17" i="2" l="1"/>
  <c r="P18" i="2" s="1"/>
  <c r="O18" i="2"/>
  <c r="P19" i="2" s="1"/>
  <c r="O19" i="2"/>
  <c r="U19" i="2" s="1"/>
  <c r="R21" i="2"/>
  <c r="U21" i="2" s="1"/>
  <c r="Q21" i="2" s="1"/>
  <c r="J16" i="2"/>
  <c r="D16" i="2"/>
  <c r="E17" i="2"/>
  <c r="F17" i="2" s="1"/>
  <c r="Q22" i="2" l="1"/>
  <c r="R22" i="2"/>
  <c r="M18" i="2"/>
  <c r="M17" i="2"/>
  <c r="N18" i="2" s="1"/>
  <c r="U18" i="2" l="1"/>
  <c r="U22" i="2"/>
</calcChain>
</file>

<file path=xl/sharedStrings.xml><?xml version="1.0" encoding="utf-8"?>
<sst xmlns="http://schemas.openxmlformats.org/spreadsheetml/2006/main" count="159" uniqueCount="51">
  <si>
    <t>Face Value</t>
  </si>
  <si>
    <t>GIC</t>
  </si>
  <si>
    <t>Interest Rate</t>
  </si>
  <si>
    <t>Present Value</t>
  </si>
  <si>
    <t>Accumulated Value</t>
  </si>
  <si>
    <t>Duration Liabiliy</t>
  </si>
  <si>
    <t>Present Value Liability</t>
  </si>
  <si>
    <t>Weights</t>
  </si>
  <si>
    <t>Modified Duration bond 1</t>
  </si>
  <si>
    <t>Modified Duration bond 2</t>
  </si>
  <si>
    <t>Modified Duration bond 3</t>
  </si>
  <si>
    <t>Modified Duration bond 4</t>
  </si>
  <si>
    <t>Modified Duration bond 5</t>
  </si>
  <si>
    <t>Bond 3</t>
  </si>
  <si>
    <t>Bond 4</t>
  </si>
  <si>
    <t>Bond 5</t>
  </si>
  <si>
    <t>Mod Dur</t>
  </si>
  <si>
    <t>Portfolio Duration</t>
  </si>
  <si>
    <t>Using Solver</t>
  </si>
  <si>
    <t>Investment</t>
  </si>
  <si>
    <t>USD</t>
  </si>
  <si>
    <t>Question 1</t>
  </si>
  <si>
    <t>9 years</t>
  </si>
  <si>
    <t>Total</t>
  </si>
  <si>
    <t>Liabilities</t>
  </si>
  <si>
    <t>Bonds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</si>
  <si>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</si>
  <si>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</si>
  <si>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</si>
  <si>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</si>
  <si>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</si>
  <si>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</si>
  <si>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</si>
  <si>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</si>
  <si>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</si>
  <si>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year10</t>
  </si>
  <si>
    <t>Matching</t>
  </si>
  <si>
    <t>Coupon</t>
  </si>
  <si>
    <t>Bond 1</t>
  </si>
  <si>
    <t>Bond 2</t>
  </si>
  <si>
    <t>Bond 10</t>
  </si>
  <si>
    <t>Liability</t>
  </si>
  <si>
    <t>year 0</t>
  </si>
  <si>
    <t>Principal</t>
  </si>
  <si>
    <t>10 years</t>
  </si>
  <si>
    <t>PV</t>
  </si>
  <si>
    <t>Number of bonds</t>
  </si>
  <si>
    <t>units</t>
  </si>
  <si>
    <t>Question 2</t>
  </si>
  <si>
    <t>Maturity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</si>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</sst>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Alignment="1">
      <alignment horizontal="left"/>
    </xf>
    <xf numFmtId="1" fontId="0" fillId="0" borderId="0" xfId="0" applyNumberFormat="1"/>
    <xf numFmtId="10" fontId="0" fillId="0" borderId="0" xfId="1" applyNumberFormat="1" applyFont="1" applyAlignment="1">
      <alignment horizontal="left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2" fillId="3" borderId="0" xfId="0" applyFont="1" applyFill="1"/>
    <xf numFmtId="0" fontId="3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/>
    <xf numFmtId="9" fontId="0" fillId="0" borderId="0" xfId="0" applyNumberFormat="1" applyAlignment="1">
      <alignment horizontal="left"/>
    </xf>
    <xf numFmtId="9" fontId="0" fillId="0" borderId="0" xfId="0" applyNumberFormat="1"/>
    <xf numFmtId="2" fontId="3" fillId="3" borderId="0" xfId="0" applyNumberFormat="1" applyFont="1" applyFill="1"/>
    <xf numFmtId="2" fontId="0" fillId="0" borderId="0" xfId="0" applyNumberFormat="1"/>
    <xf numFmtId="2" fontId="4" fillId="2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abSelected="1" workbookViewId="0">
      <selection activeCell="D4" sqref="D4"/>
    </sheetView>
  </sheetViews>
  <sheetFormatPr defaultRowHeight="15" x14ac:dyDescent="0.25"/>
  <cols>
    <col min="1" max="1" width="24.140625" bestFit="1" customWidth="1"/>
    <col min="2" max="2" width="35.5703125" bestFit="1" customWidth="1"/>
    <col min="4" max="4" width="16.5703125" customWidth="1"/>
    <col min="8" max="9" width="10.85546875" customWidth="1"/>
    <col min="10" max="10" width="10.7109375" customWidth="1"/>
    <col min="12" max="12" width="13.85546875" customWidth="1"/>
  </cols>
  <sheetData>
    <row r="1" spans="1:26" x14ac:dyDescent="0.25">
      <c r="A1" s="8" t="s">
        <v>21</v>
      </c>
    </row>
    <row r="3" spans="1:26" x14ac:dyDescent="0.25">
      <c r="A3" t="s">
        <v>1</v>
      </c>
      <c r="B3" t="s">
        <v>22</v>
      </c>
      <c r="W3" s="2"/>
      <c r="X3" s="2"/>
      <c r="Y3" s="2"/>
      <c r="Z3" s="2"/>
    </row>
    <row r="4" spans="1:26" x14ac:dyDescent="0.25">
      <c r="A4" s="2" t="s">
        <v>2</v>
      </c>
      <c r="B4" s="5">
        <v>4.7E-2</v>
      </c>
      <c r="W4" s="2"/>
      <c r="X4" s="2"/>
      <c r="Y4" s="2"/>
      <c r="Z4" s="2"/>
    </row>
    <row r="5" spans="1:26" x14ac:dyDescent="0.25">
      <c r="A5" s="2" t="s">
        <v>3</v>
      </c>
      <c r="B5" s="3">
        <v>50000000</v>
      </c>
      <c r="W5" s="2"/>
      <c r="X5" s="2"/>
      <c r="Y5" s="2"/>
      <c r="Z5" s="2"/>
    </row>
    <row r="6" spans="1:26" x14ac:dyDescent="0.25">
      <c r="W6" s="2"/>
      <c r="X6" s="2"/>
      <c r="Y6" s="2"/>
      <c r="Z6" s="2"/>
    </row>
    <row r="7" spans="1:26" x14ac:dyDescent="0.25">
      <c r="A7" s="6" t="s">
        <v>4</v>
      </c>
      <c r="B7" s="7">
        <f>B5*(1+B4/2)^18</f>
        <v>75954104.945040584</v>
      </c>
      <c r="L7" s="2"/>
      <c r="M7" s="2"/>
      <c r="N7" s="2"/>
      <c r="O7" s="2"/>
      <c r="P7" s="2"/>
      <c r="Q7" s="2"/>
      <c r="W7" s="2"/>
      <c r="X7" s="2"/>
      <c r="Y7" s="2"/>
      <c r="Z7" s="2"/>
    </row>
    <row r="8" spans="1:26" x14ac:dyDescent="0.25"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t="s">
        <v>0</v>
      </c>
      <c r="B9">
        <v>1000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t="s">
        <v>5</v>
      </c>
      <c r="B10">
        <f>9/(1+B4/2)</f>
        <v>8.7933561309233017</v>
      </c>
      <c r="C10" s="2"/>
      <c r="D10" s="2"/>
      <c r="E10" s="2"/>
      <c r="F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t="s">
        <v>6</v>
      </c>
      <c r="B11">
        <v>50000000</v>
      </c>
      <c r="C11" s="2"/>
      <c r="D11" s="2"/>
      <c r="E11" s="2"/>
      <c r="F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C12" s="2"/>
      <c r="D12" s="2"/>
      <c r="E12" s="2"/>
      <c r="F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t="s">
        <v>8</v>
      </c>
      <c r="B13">
        <v>2.74</v>
      </c>
      <c r="C13" s="2"/>
      <c r="D13" s="2"/>
      <c r="E13" s="2"/>
      <c r="F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t="s">
        <v>9</v>
      </c>
      <c r="B14">
        <v>4.78</v>
      </c>
      <c r="C14" s="2"/>
      <c r="D14" s="2"/>
      <c r="E14" s="2"/>
      <c r="F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t="s">
        <v>10</v>
      </c>
      <c r="B15">
        <v>5.62</v>
      </c>
      <c r="C15" s="2"/>
      <c r="D15" s="2"/>
      <c r="E15" s="2"/>
      <c r="F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t="s">
        <v>11</v>
      </c>
      <c r="B16">
        <v>8.27</v>
      </c>
      <c r="C16" s="2"/>
      <c r="D16" s="2"/>
      <c r="E16" s="2"/>
      <c r="F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t="s">
        <v>12</v>
      </c>
      <c r="B17">
        <v>10.29</v>
      </c>
      <c r="C17" s="2"/>
      <c r="D17" s="2"/>
      <c r="E17" s="2"/>
      <c r="F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C18" s="2"/>
      <c r="D18" s="2"/>
      <c r="E18" s="2"/>
      <c r="F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C21" t="s">
        <v>7</v>
      </c>
      <c r="D21" t="s">
        <v>16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C22">
        <v>0</v>
      </c>
      <c r="D22">
        <v>2.74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C23">
        <v>0</v>
      </c>
      <c r="D23">
        <v>4.78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C24">
        <v>0.3</v>
      </c>
      <c r="D24">
        <v>5.62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C25">
        <v>4.7348450001250625E-2</v>
      </c>
      <c r="D25">
        <v>8.27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C26">
        <v>0.65265154999874941</v>
      </c>
      <c r="D26">
        <v>10.29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C27">
        <f>SUM(C22:C26)</f>
        <v>1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D28" t="s">
        <v>17</v>
      </c>
      <c r="E28">
        <f>C22*D22+C23*D23+C24*D24+C25*D25+C26*D26</f>
        <v>8.7933561309974735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C31" t="s">
        <v>18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C32" t="s">
        <v>7</v>
      </c>
      <c r="D32" t="s">
        <v>17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B33" t="s">
        <v>13</v>
      </c>
      <c r="C33" s="6">
        <v>0.3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B34" t="s">
        <v>14</v>
      </c>
      <c r="C34" s="6">
        <v>4.7348000000000001E-2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B35" t="s">
        <v>15</v>
      </c>
      <c r="C35" s="6">
        <v>0.65265200000000001</v>
      </c>
      <c r="D35" s="6">
        <f>C33*D24+C34*D25+C35*D26</f>
        <v>8.7933570400000001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6" t="s">
        <v>19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 t="s">
        <v>13</v>
      </c>
      <c r="B39" s="6">
        <f>50000000*C33</f>
        <v>15000000</v>
      </c>
      <c r="C39" t="s">
        <v>20</v>
      </c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t="s">
        <v>14</v>
      </c>
      <c r="B40" s="6">
        <f>50000000*C34</f>
        <v>2367400</v>
      </c>
      <c r="C40" t="s">
        <v>20</v>
      </c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t="s">
        <v>15</v>
      </c>
      <c r="B41" s="6">
        <f>50000000*C35</f>
        <v>32632600</v>
      </c>
      <c r="C41" t="s">
        <v>20</v>
      </c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6" t="s">
        <v>23</v>
      </c>
      <c r="B43" s="6">
        <f>SUM(B39:B41)</f>
        <v>50000000</v>
      </c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B44" s="4"/>
      <c r="C44" s="1"/>
      <c r="W44" s="2"/>
      <c r="X44" s="2"/>
      <c r="Y44" s="2"/>
      <c r="Z44" s="2"/>
    </row>
    <row r="45" spans="1:26" x14ac:dyDescent="0.25">
      <c r="B45" s="4"/>
      <c r="C45" s="1"/>
      <c r="W45" s="2"/>
      <c r="X45" s="2"/>
      <c r="Y45" s="2"/>
      <c r="Z45" s="2"/>
    </row>
    <row r="46" spans="1:26" x14ac:dyDescent="0.25">
      <c r="W46" s="2"/>
      <c r="X46" s="2"/>
      <c r="Y46" s="2"/>
      <c r="Z46" s="2"/>
    </row>
    <row r="47" spans="1:26" x14ac:dyDescent="0.25">
      <c r="W47" s="2"/>
      <c r="X47" s="2"/>
      <c r="Y47" s="2"/>
      <c r="Z4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zoomScale="150" zoomScaleNormal="150" workbookViewId="0">
      <selection activeCell="D2" sqref="D2"/>
    </sheetView>
  </sheetViews>
  <sheetFormatPr defaultRowHeight="15" x14ac:dyDescent="0.25"/>
  <cols>
    <col min="1" max="1" width="24.140625" bestFit="1" customWidth="1"/>
  </cols>
  <sheetData>
    <row r="1" spans="1:26" x14ac:dyDescent="0.25">
      <c r="A1" s="6" t="s">
        <v>48</v>
      </c>
    </row>
    <row r="3" spans="1:26" x14ac:dyDescent="0.25">
      <c r="A3" t="s">
        <v>1</v>
      </c>
      <c r="B3" t="s">
        <v>44</v>
      </c>
    </row>
    <row r="4" spans="1:26" x14ac:dyDescent="0.25">
      <c r="A4" s="2" t="s">
        <v>2</v>
      </c>
      <c r="B4" s="12">
        <v>0.06</v>
      </c>
    </row>
    <row r="5" spans="1:26" x14ac:dyDescent="0.25">
      <c r="A5" s="2" t="s">
        <v>3</v>
      </c>
      <c r="B5" s="3">
        <v>10000000</v>
      </c>
    </row>
    <row r="7" spans="1:26" x14ac:dyDescent="0.25">
      <c r="A7" s="6" t="s">
        <v>4</v>
      </c>
      <c r="B7" s="7">
        <f>B5*(1+B4/2)^20</f>
        <v>18061112.346694134</v>
      </c>
    </row>
    <row r="9" spans="1:26" x14ac:dyDescent="0.25">
      <c r="A9" t="s">
        <v>0</v>
      </c>
      <c r="B9">
        <v>1000</v>
      </c>
    </row>
    <row r="10" spans="1:26" x14ac:dyDescent="0.25">
      <c r="A10" t="s">
        <v>5</v>
      </c>
      <c r="B10">
        <f>10/(1+B4/2)</f>
        <v>9.7087378640776691</v>
      </c>
    </row>
    <row r="11" spans="1:26" x14ac:dyDescent="0.25">
      <c r="A11" t="s">
        <v>6</v>
      </c>
      <c r="B11">
        <v>1000000</v>
      </c>
    </row>
    <row r="12" spans="1:26" x14ac:dyDescent="0.25">
      <c r="C12" s="6" t="s">
        <v>38</v>
      </c>
      <c r="D12" t="s">
        <v>45</v>
      </c>
      <c r="E12" t="s">
        <v>7</v>
      </c>
      <c r="H12" s="6" t="s">
        <v>39</v>
      </c>
      <c r="I12" t="s">
        <v>45</v>
      </c>
      <c r="J12" t="s">
        <v>7</v>
      </c>
      <c r="M12" s="6" t="s">
        <v>13</v>
      </c>
      <c r="N12" t="s">
        <v>45</v>
      </c>
      <c r="O12" t="s">
        <v>7</v>
      </c>
      <c r="R12" s="6" t="s">
        <v>14</v>
      </c>
      <c r="S12" t="s">
        <v>45</v>
      </c>
      <c r="T12" t="s">
        <v>7</v>
      </c>
      <c r="W12" s="6" t="s">
        <v>15</v>
      </c>
      <c r="X12" t="s">
        <v>45</v>
      </c>
      <c r="Y12" t="s">
        <v>7</v>
      </c>
    </row>
    <row r="13" spans="1:26" x14ac:dyDescent="0.25">
      <c r="A13" t="s">
        <v>8</v>
      </c>
      <c r="B13">
        <f>F19/2/1.03</f>
        <v>2.7378665947452578</v>
      </c>
      <c r="C13">
        <v>1</v>
      </c>
      <c r="D13">
        <f>25/1.03^C13</f>
        <v>24.271844660194173</v>
      </c>
      <c r="E13">
        <f>D13/D$19</f>
        <v>2.4947573570656582E-2</v>
      </c>
      <c r="F13">
        <f>E13*C13</f>
        <v>2.4947573570656582E-2</v>
      </c>
      <c r="H13">
        <v>1</v>
      </c>
      <c r="I13">
        <f>35/1.04^H13</f>
        <v>33.653846153846153</v>
      </c>
      <c r="J13">
        <f>I13/I$25</f>
        <v>3.5310819375772469E-2</v>
      </c>
      <c r="K13">
        <f>J13*H13</f>
        <v>3.5310819375772469E-2</v>
      </c>
      <c r="M13">
        <v>1</v>
      </c>
      <c r="N13">
        <f>45/1.045^M13</f>
        <v>43.062200956937801</v>
      </c>
      <c r="O13">
        <f>N13/N$29</f>
        <v>4.3062200956937739E-2</v>
      </c>
      <c r="P13">
        <f>O13*M13</f>
        <v>4.3062200956937739E-2</v>
      </c>
      <c r="R13">
        <v>1</v>
      </c>
      <c r="S13">
        <f>50/1.04^R13</f>
        <v>48.076923076923073</v>
      </c>
      <c r="T13">
        <f>S13/S$43</f>
        <v>4.0989078050751769E-2</v>
      </c>
      <c r="U13">
        <f>T13*R13</f>
        <v>4.0989078050751769E-2</v>
      </c>
      <c r="W13">
        <v>1</v>
      </c>
      <c r="X13">
        <f>55/1.03^W13</f>
        <v>53.398058252427184</v>
      </c>
      <c r="Y13">
        <f>X13/X$53</f>
        <v>3.3841876684114279E-2</v>
      </c>
      <c r="Z13">
        <f>Y13*W13</f>
        <v>3.3841876684114279E-2</v>
      </c>
    </row>
    <row r="14" spans="1:26" x14ac:dyDescent="0.25">
      <c r="A14" t="s">
        <v>9</v>
      </c>
      <c r="B14">
        <f>K25/2/1.04</f>
        <v>4.7807382398732701</v>
      </c>
      <c r="C14">
        <v>2</v>
      </c>
      <c r="D14">
        <f t="shared" ref="D14:D17" si="0">25/1.03^C14</f>
        <v>23.564897728343858</v>
      </c>
      <c r="E14">
        <f t="shared" ref="E14:E19" si="1">D14/D$19</f>
        <v>2.4220945214229694E-2</v>
      </c>
      <c r="F14">
        <f t="shared" ref="F14:F18" si="2">E14*C14</f>
        <v>4.8441890428459387E-2</v>
      </c>
      <c r="H14">
        <v>2</v>
      </c>
      <c r="I14">
        <f t="shared" ref="I14:I23" si="3">35/1.04^H14</f>
        <v>32.359467455621299</v>
      </c>
      <c r="J14">
        <f t="shared" ref="J14:J25" si="4">I14/I$25</f>
        <v>3.3952710938242758E-2</v>
      </c>
      <c r="K14">
        <f t="shared" ref="K14:K24" si="5">J14*H14</f>
        <v>6.7905421876485517E-2</v>
      </c>
      <c r="M14">
        <v>2</v>
      </c>
      <c r="N14">
        <f t="shared" ref="N14:N27" si="6">45/1.045^M14</f>
        <v>41.207847805682114</v>
      </c>
      <c r="O14">
        <f t="shared" ref="O14:O29" si="7">N14/N$29</f>
        <v>4.1207847805682055E-2</v>
      </c>
      <c r="P14">
        <f t="shared" ref="P14:P28" si="8">O14*M14</f>
        <v>8.2415695611364109E-2</v>
      </c>
      <c r="R14">
        <v>2</v>
      </c>
      <c r="S14">
        <f t="shared" ref="S14:S41" si="9">50/1.04^R14</f>
        <v>46.227810650887569</v>
      </c>
      <c r="T14">
        <f t="shared" ref="T14:T43" si="10">S14/S$43</f>
        <v>3.9412575048799775E-2</v>
      </c>
      <c r="U14">
        <f t="shared" ref="U14:U42" si="11">T14*R14</f>
        <v>7.882515009759955E-2</v>
      </c>
      <c r="W14">
        <v>2</v>
      </c>
      <c r="X14">
        <f t="shared" ref="X14:X51" si="12">55/1.03^W14</f>
        <v>51.84277500235649</v>
      </c>
      <c r="Y14">
        <f t="shared" ref="Y14:Y53" si="13">X14/X$53</f>
        <v>3.2856190955450761E-2</v>
      </c>
      <c r="Z14">
        <f t="shared" ref="Z14:Z52" si="14">Y14*W14</f>
        <v>6.5712381910901521E-2</v>
      </c>
    </row>
    <row r="15" spans="1:26" x14ac:dyDescent="0.25">
      <c r="A15" t="s">
        <v>10</v>
      </c>
      <c r="B15">
        <f>P29/2/1.045</f>
        <v>5.6170075245532489</v>
      </c>
      <c r="C15">
        <v>3</v>
      </c>
      <c r="D15">
        <f t="shared" si="0"/>
        <v>22.87854148382899</v>
      </c>
      <c r="E15">
        <f t="shared" si="1"/>
        <v>2.3515480790514267E-2</v>
      </c>
      <c r="F15">
        <f t="shared" si="2"/>
        <v>7.0546442371542797E-2</v>
      </c>
      <c r="H15">
        <v>3</v>
      </c>
      <c r="I15">
        <f t="shared" si="3"/>
        <v>31.114872553482019</v>
      </c>
      <c r="J15">
        <f t="shared" si="4"/>
        <v>3.2646837440618033E-2</v>
      </c>
      <c r="K15">
        <f t="shared" si="5"/>
        <v>9.7940512321854106E-2</v>
      </c>
      <c r="M15">
        <v>3</v>
      </c>
      <c r="N15">
        <f t="shared" si="6"/>
        <v>39.433347182470918</v>
      </c>
      <c r="O15">
        <f t="shared" si="7"/>
        <v>3.9433347182470865E-2</v>
      </c>
      <c r="P15">
        <f t="shared" si="8"/>
        <v>0.1183000415474126</v>
      </c>
      <c r="R15">
        <v>3</v>
      </c>
      <c r="S15">
        <f t="shared" si="9"/>
        <v>44.449817933545738</v>
      </c>
      <c r="T15">
        <f t="shared" si="10"/>
        <v>3.7896706777692094E-2</v>
      </c>
      <c r="U15">
        <f t="shared" si="11"/>
        <v>0.11369012033307628</v>
      </c>
      <c r="W15">
        <v>3</v>
      </c>
      <c r="X15">
        <f t="shared" si="12"/>
        <v>50.332791264423776</v>
      </c>
      <c r="Y15">
        <f t="shared" si="13"/>
        <v>3.1899214519855106E-2</v>
      </c>
      <c r="Z15">
        <f t="shared" si="14"/>
        <v>9.569764355956531E-2</v>
      </c>
    </row>
    <row r="16" spans="1:26" x14ac:dyDescent="0.25">
      <c r="A16" t="s">
        <v>11</v>
      </c>
      <c r="B16">
        <f>U43/2/1.04</f>
        <v>8.2663711880677724</v>
      </c>
      <c r="C16">
        <v>4</v>
      </c>
      <c r="D16">
        <f t="shared" si="0"/>
        <v>22.212176197892223</v>
      </c>
      <c r="E16">
        <f t="shared" si="1"/>
        <v>2.2830563874285694E-2</v>
      </c>
      <c r="F16">
        <f t="shared" si="2"/>
        <v>9.1322255497142776E-2</v>
      </c>
      <c r="H16">
        <v>4</v>
      </c>
      <c r="I16">
        <f t="shared" si="3"/>
        <v>29.918146686040398</v>
      </c>
      <c r="J16">
        <f t="shared" si="4"/>
        <v>3.1391189846748109E-2</v>
      </c>
      <c r="K16">
        <f t="shared" si="5"/>
        <v>0.12556475938699244</v>
      </c>
      <c r="M16">
        <v>4</v>
      </c>
      <c r="N16">
        <f t="shared" si="6"/>
        <v>37.735260461694672</v>
      </c>
      <c r="O16">
        <f t="shared" si="7"/>
        <v>3.773526046169462E-2</v>
      </c>
      <c r="P16">
        <f t="shared" si="8"/>
        <v>0.15094104184677848</v>
      </c>
      <c r="R16">
        <v>4</v>
      </c>
      <c r="S16">
        <f t="shared" si="9"/>
        <v>42.740209551486288</v>
      </c>
      <c r="T16">
        <f t="shared" si="10"/>
        <v>3.6439141132396241E-2</v>
      </c>
      <c r="U16">
        <f t="shared" si="11"/>
        <v>0.14575656452958496</v>
      </c>
      <c r="W16">
        <v>4</v>
      </c>
      <c r="X16">
        <f t="shared" si="12"/>
        <v>48.866787635362897</v>
      </c>
      <c r="Y16">
        <f t="shared" si="13"/>
        <v>3.0970111184325348E-2</v>
      </c>
      <c r="Z16">
        <f t="shared" si="14"/>
        <v>0.12388044473730139</v>
      </c>
    </row>
    <row r="17" spans="1:26" x14ac:dyDescent="0.25">
      <c r="A17" t="s">
        <v>12</v>
      </c>
      <c r="B17">
        <f>Z53/2/1.03</f>
        <v>10.284802615653998</v>
      </c>
      <c r="C17">
        <v>5</v>
      </c>
      <c r="D17">
        <f t="shared" si="0"/>
        <v>21.565219609604103</v>
      </c>
      <c r="E17">
        <f t="shared" si="1"/>
        <v>2.2165595994452135E-2</v>
      </c>
      <c r="F17">
        <f t="shared" si="2"/>
        <v>0.11082797997226068</v>
      </c>
      <c r="H17">
        <v>5</v>
      </c>
      <c r="I17">
        <f t="shared" si="3"/>
        <v>28.767448736577304</v>
      </c>
      <c r="J17">
        <f t="shared" si="4"/>
        <v>3.0183836391103946E-2</v>
      </c>
      <c r="K17">
        <f t="shared" si="5"/>
        <v>0.15091918195551973</v>
      </c>
      <c r="M17">
        <v>5</v>
      </c>
      <c r="N17">
        <f t="shared" si="6"/>
        <v>36.110297092530786</v>
      </c>
      <c r="O17">
        <f t="shared" si="7"/>
        <v>3.611029709253074E-2</v>
      </c>
      <c r="P17">
        <f t="shared" si="8"/>
        <v>0.1805514854626537</v>
      </c>
      <c r="R17">
        <v>5</v>
      </c>
      <c r="S17">
        <f t="shared" si="9"/>
        <v>41.09635533796758</v>
      </c>
      <c r="T17">
        <f t="shared" si="10"/>
        <v>3.5037635704227153E-2</v>
      </c>
      <c r="U17">
        <f t="shared" si="11"/>
        <v>0.17518817852113577</v>
      </c>
      <c r="W17">
        <v>5</v>
      </c>
      <c r="X17">
        <f t="shared" si="12"/>
        <v>47.443483141129029</v>
      </c>
      <c r="Y17">
        <f t="shared" si="13"/>
        <v>3.0068069110995486E-2</v>
      </c>
      <c r="Z17">
        <f t="shared" si="14"/>
        <v>0.15034034555497744</v>
      </c>
    </row>
    <row r="18" spans="1:26" x14ac:dyDescent="0.25">
      <c r="C18">
        <v>6</v>
      </c>
      <c r="D18">
        <f>1025/1.03^C18</f>
        <v>858.42136310074579</v>
      </c>
      <c r="E18">
        <f t="shared" si="1"/>
        <v>0.88231984055586155</v>
      </c>
      <c r="F18">
        <f t="shared" si="2"/>
        <v>5.2939190433351691</v>
      </c>
      <c r="H18">
        <v>6</v>
      </c>
      <c r="I18">
        <f t="shared" si="3"/>
        <v>27.661008400555101</v>
      </c>
      <c r="J18">
        <f t="shared" si="4"/>
        <v>2.9022919606830719E-2</v>
      </c>
      <c r="K18">
        <f t="shared" si="5"/>
        <v>0.17413751764098431</v>
      </c>
      <c r="M18">
        <v>6</v>
      </c>
      <c r="N18">
        <f t="shared" si="6"/>
        <v>34.555308222517503</v>
      </c>
      <c r="O18">
        <f t="shared" si="7"/>
        <v>3.4555308222517456E-2</v>
      </c>
      <c r="P18">
        <f t="shared" si="8"/>
        <v>0.20733184933510473</v>
      </c>
      <c r="R18">
        <v>6</v>
      </c>
      <c r="S18">
        <f t="shared" si="9"/>
        <v>39.515726286507288</v>
      </c>
      <c r="T18">
        <f t="shared" si="10"/>
        <v>3.3690034330987648E-2</v>
      </c>
      <c r="U18">
        <f t="shared" si="11"/>
        <v>0.20214020598592589</v>
      </c>
      <c r="W18">
        <v>6</v>
      </c>
      <c r="X18">
        <f t="shared" si="12"/>
        <v>46.061634117600995</v>
      </c>
      <c r="Y18">
        <f t="shared" si="13"/>
        <v>2.9192300107762605E-2</v>
      </c>
      <c r="Z18">
        <f t="shared" si="14"/>
        <v>0.17515380064657562</v>
      </c>
    </row>
    <row r="19" spans="1:26" x14ac:dyDescent="0.25">
      <c r="D19" s="6">
        <f>SUM(D13:D18)</f>
        <v>972.91404278060918</v>
      </c>
      <c r="E19">
        <f t="shared" si="1"/>
        <v>1</v>
      </c>
      <c r="F19" s="6">
        <f>SUM(F13:F18)</f>
        <v>5.6400051851752311</v>
      </c>
      <c r="H19">
        <v>7</v>
      </c>
      <c r="I19">
        <f t="shared" si="3"/>
        <v>26.597123462072215</v>
      </c>
      <c r="J19">
        <f t="shared" si="4"/>
        <v>2.7906653468106463E-2</v>
      </c>
      <c r="K19">
        <f t="shared" si="5"/>
        <v>0.19534657427674523</v>
      </c>
      <c r="M19">
        <v>7</v>
      </c>
      <c r="N19">
        <f t="shared" si="6"/>
        <v>33.067280595710528</v>
      </c>
      <c r="O19">
        <f t="shared" si="7"/>
        <v>3.3067280595710485E-2</v>
      </c>
      <c r="P19">
        <f t="shared" si="8"/>
        <v>0.2314709641699734</v>
      </c>
      <c r="R19">
        <v>7</v>
      </c>
      <c r="S19">
        <f t="shared" si="9"/>
        <v>37.995890660103164</v>
      </c>
      <c r="T19">
        <f t="shared" si="10"/>
        <v>3.2394263779795818E-2</v>
      </c>
      <c r="U19">
        <f t="shared" si="11"/>
        <v>0.22675984645857072</v>
      </c>
      <c r="W19">
        <v>7</v>
      </c>
      <c r="X19">
        <f t="shared" si="12"/>
        <v>44.720033123884456</v>
      </c>
      <c r="Y19">
        <f t="shared" si="13"/>
        <v>2.8342038939575341E-2</v>
      </c>
      <c r="Z19">
        <f t="shared" si="14"/>
        <v>0.19839427257702738</v>
      </c>
    </row>
    <row r="20" spans="1:26" x14ac:dyDescent="0.25">
      <c r="H20">
        <v>8</v>
      </c>
      <c r="I20">
        <f t="shared" si="3"/>
        <v>25.574157175069431</v>
      </c>
      <c r="J20">
        <f t="shared" si="4"/>
        <v>2.6833320642410053E-2</v>
      </c>
      <c r="K20">
        <f t="shared" si="5"/>
        <v>0.21466656513928042</v>
      </c>
      <c r="M20">
        <v>8</v>
      </c>
      <c r="N20">
        <f t="shared" si="6"/>
        <v>31.643330713598601</v>
      </c>
      <c r="O20">
        <f t="shared" si="7"/>
        <v>3.1643330713598559E-2</v>
      </c>
      <c r="P20">
        <f t="shared" si="8"/>
        <v>0.25314664570878848</v>
      </c>
      <c r="R20">
        <v>8</v>
      </c>
      <c r="S20">
        <f t="shared" si="9"/>
        <v>36.534510250099189</v>
      </c>
      <c r="T20">
        <f t="shared" si="10"/>
        <v>3.1148330557495971E-2</v>
      </c>
      <c r="U20">
        <f t="shared" si="11"/>
        <v>0.24918664445996777</v>
      </c>
      <c r="W20">
        <v>8</v>
      </c>
      <c r="X20">
        <f t="shared" si="12"/>
        <v>43.417507887266467</v>
      </c>
      <c r="Y20">
        <f t="shared" si="13"/>
        <v>2.751654265978189E-2</v>
      </c>
      <c r="Z20">
        <f t="shared" si="14"/>
        <v>0.22013234127825512</v>
      </c>
    </row>
    <row r="21" spans="1:26" x14ac:dyDescent="0.25">
      <c r="H21">
        <v>9</v>
      </c>
      <c r="I21">
        <f t="shared" si="3"/>
        <v>24.590535745259068</v>
      </c>
      <c r="J21">
        <f t="shared" si="4"/>
        <v>2.5801269848471205E-2</v>
      </c>
      <c r="K21">
        <f t="shared" si="5"/>
        <v>0.23221142863624084</v>
      </c>
      <c r="M21">
        <v>9</v>
      </c>
      <c r="N21">
        <f t="shared" si="6"/>
        <v>30.280699247462781</v>
      </c>
      <c r="O21">
        <f t="shared" si="7"/>
        <v>3.0280699247462739E-2</v>
      </c>
      <c r="P21">
        <f t="shared" si="8"/>
        <v>0.27252629322716465</v>
      </c>
      <c r="R21">
        <v>9</v>
      </c>
      <c r="S21">
        <f t="shared" si="9"/>
        <v>35.129336778941521</v>
      </c>
      <c r="T21">
        <f t="shared" si="10"/>
        <v>2.9950317843746122E-2</v>
      </c>
      <c r="U21">
        <f t="shared" si="11"/>
        <v>0.26955286059371508</v>
      </c>
      <c r="W21">
        <v>9</v>
      </c>
      <c r="X21">
        <f t="shared" si="12"/>
        <v>42.152920278899479</v>
      </c>
      <c r="Y21">
        <f t="shared" si="13"/>
        <v>2.6715089960953287E-2</v>
      </c>
      <c r="Z21">
        <f t="shared" si="14"/>
        <v>0.24043580964857958</v>
      </c>
    </row>
    <row r="22" spans="1:26" x14ac:dyDescent="0.25">
      <c r="H22">
        <v>10</v>
      </c>
      <c r="I22">
        <f t="shared" si="3"/>
        <v>23.644745908902948</v>
      </c>
      <c r="J22">
        <f t="shared" si="4"/>
        <v>2.4808913315837695E-2</v>
      </c>
      <c r="K22">
        <f t="shared" si="5"/>
        <v>0.24808913315837694</v>
      </c>
      <c r="M22">
        <v>10</v>
      </c>
      <c r="N22">
        <f t="shared" si="6"/>
        <v>28.976745691351947</v>
      </c>
      <c r="O22">
        <f t="shared" si="7"/>
        <v>2.8976745691351908E-2</v>
      </c>
      <c r="P22">
        <f t="shared" si="8"/>
        <v>0.28976745691351907</v>
      </c>
      <c r="R22">
        <v>10</v>
      </c>
      <c r="S22">
        <f t="shared" si="9"/>
        <v>33.778208441289927</v>
      </c>
      <c r="T22">
        <f t="shared" si="10"/>
        <v>2.8798382542063579E-2</v>
      </c>
      <c r="U22">
        <f t="shared" si="11"/>
        <v>0.28798382542063578</v>
      </c>
      <c r="W22">
        <v>10</v>
      </c>
      <c r="X22">
        <f t="shared" si="12"/>
        <v>40.925165319319888</v>
      </c>
      <c r="Y22">
        <f t="shared" si="13"/>
        <v>2.5936980544614845E-2</v>
      </c>
      <c r="Z22">
        <f t="shared" si="14"/>
        <v>0.25936980544614846</v>
      </c>
    </row>
    <row r="23" spans="1:26" x14ac:dyDescent="0.25">
      <c r="H23">
        <v>11</v>
      </c>
      <c r="I23">
        <f t="shared" si="3"/>
        <v>22.735332604714376</v>
      </c>
      <c r="J23">
        <f t="shared" si="4"/>
        <v>2.3854724342151634E-2</v>
      </c>
      <c r="K23">
        <f t="shared" si="5"/>
        <v>0.26240196776366798</v>
      </c>
      <c r="M23">
        <v>11</v>
      </c>
      <c r="N23">
        <f t="shared" si="6"/>
        <v>27.72894324531287</v>
      </c>
      <c r="O23">
        <f t="shared" si="7"/>
        <v>2.7728943245312832E-2</v>
      </c>
      <c r="P23">
        <f t="shared" si="8"/>
        <v>0.30501837569844115</v>
      </c>
      <c r="R23">
        <v>11</v>
      </c>
      <c r="S23">
        <f t="shared" si="9"/>
        <v>32.479046578163391</v>
      </c>
      <c r="T23">
        <f t="shared" si="10"/>
        <v>2.7690752444291904E-2</v>
      </c>
      <c r="U23">
        <f t="shared" si="11"/>
        <v>0.30459827688721097</v>
      </c>
      <c r="W23">
        <v>11</v>
      </c>
      <c r="X23">
        <f t="shared" si="12"/>
        <v>39.733170212931924</v>
      </c>
      <c r="Y23">
        <f t="shared" si="13"/>
        <v>2.5181534509334799E-2</v>
      </c>
      <c r="Z23">
        <f t="shared" si="14"/>
        <v>0.27699687960268277</v>
      </c>
    </row>
    <row r="24" spans="1:26" x14ac:dyDescent="0.25">
      <c r="H24">
        <v>12</v>
      </c>
      <c r="I24">
        <f>1035/1.04^H24</f>
        <v>646.45794631536739</v>
      </c>
      <c r="J24">
        <f t="shared" si="4"/>
        <v>0.67828680478370695</v>
      </c>
      <c r="K24">
        <f t="shared" si="5"/>
        <v>8.1394416574044826</v>
      </c>
      <c r="M24">
        <v>12</v>
      </c>
      <c r="N24">
        <f t="shared" si="6"/>
        <v>26.53487391895969</v>
      </c>
      <c r="O24">
        <f t="shared" si="7"/>
        <v>2.6534873918959652E-2</v>
      </c>
      <c r="P24">
        <f t="shared" si="8"/>
        <v>0.31841848702751585</v>
      </c>
      <c r="R24">
        <v>12</v>
      </c>
      <c r="S24">
        <f t="shared" si="9"/>
        <v>31.229852479003256</v>
      </c>
      <c r="T24">
        <f t="shared" si="10"/>
        <v>2.6625723504126828E-2</v>
      </c>
      <c r="U24">
        <f t="shared" si="11"/>
        <v>0.31950868204952193</v>
      </c>
      <c r="W24">
        <v>12</v>
      </c>
      <c r="X24">
        <f t="shared" si="12"/>
        <v>38.575893410613524</v>
      </c>
      <c r="Y24">
        <f t="shared" si="13"/>
        <v>2.4448091756635731E-2</v>
      </c>
      <c r="Z24">
        <f t="shared" si="14"/>
        <v>0.29337710107962878</v>
      </c>
    </row>
    <row r="25" spans="1:26" x14ac:dyDescent="0.25">
      <c r="I25" s="6">
        <f>SUM(I13:I24)</f>
        <v>953.07463119750764</v>
      </c>
      <c r="J25">
        <f t="shared" si="4"/>
        <v>1</v>
      </c>
      <c r="K25" s="6">
        <f>SUM(K13:K24)</f>
        <v>9.9439355389364028</v>
      </c>
      <c r="M25">
        <v>13</v>
      </c>
      <c r="N25">
        <f t="shared" si="6"/>
        <v>25.392223845894438</v>
      </c>
      <c r="O25">
        <f t="shared" si="7"/>
        <v>2.5392223845894405E-2</v>
      </c>
      <c r="P25">
        <f t="shared" si="8"/>
        <v>0.33009890999662728</v>
      </c>
      <c r="R25">
        <v>13</v>
      </c>
      <c r="S25">
        <f t="shared" si="9"/>
        <v>30.0287043067339</v>
      </c>
      <c r="T25">
        <f t="shared" si="10"/>
        <v>2.5601657215506564E-2</v>
      </c>
      <c r="U25">
        <f t="shared" si="11"/>
        <v>0.33282154380158535</v>
      </c>
      <c r="W25">
        <v>13</v>
      </c>
      <c r="X25">
        <f t="shared" si="12"/>
        <v>37.452323699624785</v>
      </c>
      <c r="Y25">
        <f t="shared" si="13"/>
        <v>2.3736011414209449E-2</v>
      </c>
      <c r="Z25">
        <f t="shared" si="14"/>
        <v>0.30856814838472285</v>
      </c>
    </row>
    <row r="26" spans="1:26" x14ac:dyDescent="0.25">
      <c r="M26">
        <v>14</v>
      </c>
      <c r="N26">
        <f t="shared" si="6"/>
        <v>24.29877879989899</v>
      </c>
      <c r="O26">
        <f t="shared" si="7"/>
        <v>2.4298778799898956E-2</v>
      </c>
      <c r="P26">
        <f t="shared" si="8"/>
        <v>0.34018290319858541</v>
      </c>
      <c r="R26">
        <v>14</v>
      </c>
      <c r="S26">
        <f t="shared" si="9"/>
        <v>28.873754141090288</v>
      </c>
      <c r="T26">
        <f t="shared" si="10"/>
        <v>2.4616978091833233E-2</v>
      </c>
      <c r="U26">
        <f t="shared" si="11"/>
        <v>0.34463769328566529</v>
      </c>
      <c r="W26">
        <v>14</v>
      </c>
      <c r="X26">
        <f t="shared" si="12"/>
        <v>36.36147932002406</v>
      </c>
      <c r="Y26">
        <f t="shared" si="13"/>
        <v>2.3044671275931503E-2</v>
      </c>
      <c r="Z26">
        <f t="shared" si="14"/>
        <v>0.32262539786304101</v>
      </c>
    </row>
    <row r="27" spans="1:26" x14ac:dyDescent="0.25">
      <c r="M27">
        <v>15</v>
      </c>
      <c r="N27">
        <f t="shared" si="6"/>
        <v>23.252419904209557</v>
      </c>
      <c r="O27">
        <f t="shared" si="7"/>
        <v>2.3252419904209527E-2</v>
      </c>
      <c r="P27">
        <f t="shared" si="8"/>
        <v>0.34878629856314292</v>
      </c>
      <c r="R27">
        <v>15</v>
      </c>
      <c r="S27">
        <f t="shared" si="9"/>
        <v>27.763225135663742</v>
      </c>
      <c r="T27">
        <f t="shared" si="10"/>
        <v>2.3670171242147344E-2</v>
      </c>
      <c r="U27">
        <f t="shared" si="11"/>
        <v>0.35505256863221019</v>
      </c>
      <c r="W27">
        <v>15</v>
      </c>
      <c r="X27">
        <f t="shared" si="12"/>
        <v>35.302407106819473</v>
      </c>
      <c r="Y27">
        <f t="shared" si="13"/>
        <v>2.2373467258185922E-2</v>
      </c>
      <c r="Z27">
        <f t="shared" si="14"/>
        <v>0.33560200887278885</v>
      </c>
    </row>
    <row r="28" spans="1:26" x14ac:dyDescent="0.25">
      <c r="M28">
        <v>16</v>
      </c>
      <c r="N28">
        <f>1045/1.045^M28</f>
        <v>516.7204423157682</v>
      </c>
      <c r="O28">
        <f t="shared" si="7"/>
        <v>0.51672044231576753</v>
      </c>
      <c r="P28">
        <f t="shared" si="8"/>
        <v>8.2675270770522804</v>
      </c>
      <c r="R28">
        <v>16</v>
      </c>
      <c r="S28">
        <f t="shared" si="9"/>
        <v>26.695408784292052</v>
      </c>
      <c r="T28">
        <f t="shared" si="10"/>
        <v>2.2759780040526284E-2</v>
      </c>
      <c r="U28">
        <f t="shared" si="11"/>
        <v>0.36415648064842054</v>
      </c>
      <c r="W28">
        <v>16</v>
      </c>
      <c r="X28">
        <f t="shared" si="12"/>
        <v>34.27418165710629</v>
      </c>
      <c r="Y28">
        <f t="shared" si="13"/>
        <v>2.1721812872025171E-2</v>
      </c>
      <c r="Z28">
        <f t="shared" si="14"/>
        <v>0.34754900595240273</v>
      </c>
    </row>
    <row r="29" spans="1:26" x14ac:dyDescent="0.25">
      <c r="N29" s="6">
        <f>SUM(N13:N28)</f>
        <v>1000.0000000000014</v>
      </c>
      <c r="O29">
        <f t="shared" si="7"/>
        <v>1</v>
      </c>
      <c r="P29" s="6">
        <f>SUM(P13:P28)</f>
        <v>11.73954572631629</v>
      </c>
      <c r="R29">
        <v>17</v>
      </c>
      <c r="S29">
        <f t="shared" si="9"/>
        <v>25.668662292588511</v>
      </c>
      <c r="T29">
        <f t="shared" si="10"/>
        <v>2.1884403885121428E-2</v>
      </c>
      <c r="U29">
        <f t="shared" si="11"/>
        <v>0.37203486604706426</v>
      </c>
      <c r="W29">
        <v>17</v>
      </c>
      <c r="X29">
        <f t="shared" si="12"/>
        <v>33.275904521462415</v>
      </c>
      <c r="Y29">
        <f t="shared" si="13"/>
        <v>2.1089138710704048E-2</v>
      </c>
      <c r="Z29">
        <f t="shared" si="14"/>
        <v>0.35851535808196883</v>
      </c>
    </row>
    <row r="30" spans="1:26" x14ac:dyDescent="0.25">
      <c r="C30" t="s">
        <v>7</v>
      </c>
      <c r="D30" t="s">
        <v>16</v>
      </c>
      <c r="R30">
        <v>18</v>
      </c>
      <c r="S30">
        <f t="shared" si="9"/>
        <v>24.681406050565872</v>
      </c>
      <c r="T30">
        <f t="shared" si="10"/>
        <v>2.1042696043385985E-2</v>
      </c>
      <c r="U30">
        <f t="shared" si="11"/>
        <v>0.37876852878094774</v>
      </c>
      <c r="W30">
        <v>18</v>
      </c>
      <c r="X30">
        <f t="shared" si="12"/>
        <v>32.306703418895552</v>
      </c>
      <c r="Y30">
        <f t="shared" si="13"/>
        <v>2.0474891952139855E-2</v>
      </c>
      <c r="Z30">
        <f t="shared" si="14"/>
        <v>0.36854805513851741</v>
      </c>
    </row>
    <row r="31" spans="1:26" x14ac:dyDescent="0.25">
      <c r="C31">
        <v>0</v>
      </c>
      <c r="D31">
        <v>2.7378665947452578</v>
      </c>
      <c r="R31">
        <v>19</v>
      </c>
      <c r="S31">
        <f t="shared" si="9"/>
        <v>23.732121202467187</v>
      </c>
      <c r="T31">
        <f t="shared" si="10"/>
        <v>2.0233361580178834E-2</v>
      </c>
      <c r="U31">
        <f t="shared" si="11"/>
        <v>0.38443387002339785</v>
      </c>
      <c r="W31">
        <v>19</v>
      </c>
      <c r="X31">
        <f t="shared" si="12"/>
        <v>31.365731474655874</v>
      </c>
      <c r="Y31">
        <f t="shared" si="13"/>
        <v>1.9878535875863936E-2</v>
      </c>
      <c r="Z31">
        <f t="shared" si="14"/>
        <v>0.37769218164141477</v>
      </c>
    </row>
    <row r="32" spans="1:26" x14ac:dyDescent="0.25">
      <c r="C32">
        <v>6.3602666759957835E-2</v>
      </c>
      <c r="D32">
        <v>4.7807382398732701</v>
      </c>
      <c r="R32">
        <v>20</v>
      </c>
      <c r="S32">
        <f t="shared" si="9"/>
        <v>22.819347310064604</v>
      </c>
      <c r="T32">
        <f t="shared" si="10"/>
        <v>1.9455155365556573E-2</v>
      </c>
      <c r="U32">
        <f t="shared" si="11"/>
        <v>0.38910310731113146</v>
      </c>
      <c r="W32">
        <v>20</v>
      </c>
      <c r="X32">
        <f t="shared" si="12"/>
        <v>30.452166480248422</v>
      </c>
      <c r="Y32">
        <f t="shared" si="13"/>
        <v>1.9299549394042655E-2</v>
      </c>
      <c r="Z32">
        <f t="shared" si="14"/>
        <v>0.38599098788085312</v>
      </c>
    </row>
    <row r="33" spans="1:26" x14ac:dyDescent="0.25">
      <c r="C33">
        <v>3.742800133495193E-2</v>
      </c>
      <c r="D33">
        <v>5.6170075245532489</v>
      </c>
      <c r="R33">
        <v>21</v>
      </c>
      <c r="S33">
        <f t="shared" si="9"/>
        <v>21.941680105831345</v>
      </c>
      <c r="T33">
        <f t="shared" si="10"/>
        <v>1.8706880159189008E-2</v>
      </c>
      <c r="U33">
        <f t="shared" si="11"/>
        <v>0.39284448334296918</v>
      </c>
      <c r="W33">
        <v>21</v>
      </c>
      <c r="X33">
        <f t="shared" si="12"/>
        <v>29.565210174998473</v>
      </c>
      <c r="Y33">
        <f t="shared" si="13"/>
        <v>1.8737426596157923E-2</v>
      </c>
      <c r="Z33">
        <f t="shared" si="14"/>
        <v>0.39348595851931639</v>
      </c>
    </row>
    <row r="34" spans="1:26" x14ac:dyDescent="0.25">
      <c r="C34">
        <v>2.5408444267287753E-2</v>
      </c>
      <c r="D34">
        <v>8.2663711880677724</v>
      </c>
      <c r="R34">
        <v>22</v>
      </c>
      <c r="S34">
        <f t="shared" si="9"/>
        <v>21.097769332530138</v>
      </c>
      <c r="T34">
        <f t="shared" si="10"/>
        <v>1.7987384768450968E-2</v>
      </c>
      <c r="U34">
        <f t="shared" si="11"/>
        <v>0.39572246490592128</v>
      </c>
      <c r="W34">
        <v>22</v>
      </c>
      <c r="X34">
        <f t="shared" si="12"/>
        <v>28.704087548542205</v>
      </c>
      <c r="Y34">
        <f t="shared" si="13"/>
        <v>1.8191676306949438E-2</v>
      </c>
      <c r="Z34">
        <f t="shared" si="14"/>
        <v>0.40021687875288764</v>
      </c>
    </row>
    <row r="35" spans="1:26" x14ac:dyDescent="0.25">
      <c r="C35">
        <v>0.87356088763780249</v>
      </c>
      <c r="D35">
        <v>10.284802615653998</v>
      </c>
      <c r="R35">
        <v>23</v>
      </c>
      <c r="S35">
        <f t="shared" si="9"/>
        <v>20.286316665894365</v>
      </c>
      <c r="T35">
        <f t="shared" si="10"/>
        <v>1.7295562277356701E-2</v>
      </c>
      <c r="U35">
        <f t="shared" si="11"/>
        <v>0.39779793237920413</v>
      </c>
      <c r="W35">
        <v>23</v>
      </c>
      <c r="X35">
        <f t="shared" si="12"/>
        <v>27.868046163633206</v>
      </c>
      <c r="Y35">
        <f t="shared" si="13"/>
        <v>1.7661821657232461E-2</v>
      </c>
      <c r="Z35">
        <f t="shared" si="14"/>
        <v>0.40622189811634657</v>
      </c>
    </row>
    <row r="36" spans="1:26" x14ac:dyDescent="0.25">
      <c r="C36">
        <f>SUM(C31:C35)</f>
        <v>1</v>
      </c>
      <c r="R36">
        <v>24</v>
      </c>
      <c r="S36">
        <f t="shared" si="9"/>
        <v>19.506073717206121</v>
      </c>
      <c r="T36">
        <f t="shared" si="10"/>
        <v>1.6630348343612211E-2</v>
      </c>
      <c r="U36">
        <f t="shared" si="11"/>
        <v>0.39912836024669307</v>
      </c>
      <c r="W36">
        <v>24</v>
      </c>
      <c r="X36">
        <f t="shared" si="12"/>
        <v>27.056355498673021</v>
      </c>
      <c r="Y36">
        <f t="shared" si="13"/>
        <v>1.7147399667215985E-2</v>
      </c>
      <c r="Z36">
        <f t="shared" si="14"/>
        <v>0.41153759201318363</v>
      </c>
    </row>
    <row r="37" spans="1:26" x14ac:dyDescent="0.25">
      <c r="D37" t="s">
        <v>17</v>
      </c>
      <c r="E37">
        <f>C31*D31+C32*D32+C33*D33+C34*D34+C35*D35</f>
        <v>9.708737999999693</v>
      </c>
      <c r="R37">
        <v>25</v>
      </c>
      <c r="S37">
        <f t="shared" si="9"/>
        <v>18.755840112698188</v>
      </c>
      <c r="T37">
        <f t="shared" si="10"/>
        <v>1.5990719561165583E-2</v>
      </c>
      <c r="U37">
        <f t="shared" si="11"/>
        <v>0.39976798902913957</v>
      </c>
      <c r="W37">
        <v>25</v>
      </c>
      <c r="X37">
        <f t="shared" si="12"/>
        <v>26.268306309391281</v>
      </c>
      <c r="Y37">
        <f t="shared" si="13"/>
        <v>1.6647960841957268E-2</v>
      </c>
      <c r="Z37">
        <f t="shared" si="14"/>
        <v>0.41619902104893169</v>
      </c>
    </row>
    <row r="38" spans="1:26" x14ac:dyDescent="0.25">
      <c r="R38">
        <v>26</v>
      </c>
      <c r="S38">
        <f t="shared" si="9"/>
        <v>18.034461646825182</v>
      </c>
      <c r="T38">
        <f t="shared" si="10"/>
        <v>1.5375691885736139E-2</v>
      </c>
      <c r="U38">
        <f t="shared" si="11"/>
        <v>0.39976798902913963</v>
      </c>
      <c r="W38">
        <v>26</v>
      </c>
      <c r="X38">
        <f t="shared" si="12"/>
        <v>25.503210009117744</v>
      </c>
      <c r="Y38">
        <f t="shared" si="13"/>
        <v>1.6163068778599285E-2</v>
      </c>
      <c r="Z38">
        <f t="shared" si="14"/>
        <v>0.42023978824358144</v>
      </c>
    </row>
    <row r="39" spans="1:26" x14ac:dyDescent="0.25">
      <c r="R39">
        <v>27</v>
      </c>
      <c r="S39">
        <f t="shared" si="9"/>
        <v>17.340828506562676</v>
      </c>
      <c r="T39">
        <f t="shared" si="10"/>
        <v>1.4784319120900136E-2</v>
      </c>
      <c r="U39">
        <f t="shared" si="11"/>
        <v>0.39917661626430367</v>
      </c>
      <c r="W39">
        <v>27</v>
      </c>
      <c r="X39">
        <f t="shared" si="12"/>
        <v>24.76039806710461</v>
      </c>
      <c r="Y39">
        <f t="shared" si="13"/>
        <v>1.5692299785047853E-2</v>
      </c>
      <c r="Z39">
        <f t="shared" si="14"/>
        <v>0.42369209419629206</v>
      </c>
    </row>
    <row r="40" spans="1:26" x14ac:dyDescent="0.25">
      <c r="C40" t="s">
        <v>18</v>
      </c>
      <c r="R40">
        <v>28</v>
      </c>
      <c r="S40">
        <f t="shared" si="9"/>
        <v>16.673873564002569</v>
      </c>
      <c r="T40">
        <f t="shared" si="10"/>
        <v>1.4215691462403974E-2</v>
      </c>
      <c r="U40">
        <f t="shared" si="11"/>
        <v>0.39803936094731124</v>
      </c>
      <c r="W40">
        <v>28</v>
      </c>
      <c r="X40">
        <f t="shared" si="12"/>
        <v>24.039221424373409</v>
      </c>
      <c r="Y40">
        <f t="shared" si="13"/>
        <v>1.5235242509755198E-2</v>
      </c>
      <c r="Z40">
        <f t="shared" si="14"/>
        <v>0.42658679027314556</v>
      </c>
    </row>
    <row r="41" spans="1:26" x14ac:dyDescent="0.25">
      <c r="C41" t="s">
        <v>7</v>
      </c>
      <c r="D41" t="s">
        <v>17</v>
      </c>
      <c r="R41">
        <v>29</v>
      </c>
      <c r="S41">
        <f t="shared" si="9"/>
        <v>16.032570734617856</v>
      </c>
      <c r="T41">
        <f t="shared" si="10"/>
        <v>1.366893409846536E-2</v>
      </c>
      <c r="U41">
        <f t="shared" si="11"/>
        <v>0.39639908885549541</v>
      </c>
      <c r="W41">
        <v>29</v>
      </c>
      <c r="X41">
        <f t="shared" si="12"/>
        <v>23.339049926576127</v>
      </c>
      <c r="Y41">
        <f t="shared" si="13"/>
        <v>1.47914975822866E-2</v>
      </c>
      <c r="Z41">
        <f t="shared" si="14"/>
        <v>0.42895342988631141</v>
      </c>
    </row>
    <row r="42" spans="1:26" x14ac:dyDescent="0.25">
      <c r="B42" t="s">
        <v>14</v>
      </c>
      <c r="C42">
        <v>0.28540199999999999</v>
      </c>
      <c r="R42">
        <v>30</v>
      </c>
      <c r="S42">
        <f>1050/1.04^R42</f>
        <v>323.73460137209133</v>
      </c>
      <c r="T42">
        <f t="shared" si="10"/>
        <v>0.27600732314208898</v>
      </c>
      <c r="U42">
        <f t="shared" si="11"/>
        <v>8.2802196942626693</v>
      </c>
      <c r="W42">
        <v>30</v>
      </c>
      <c r="X42">
        <f t="shared" si="12"/>
        <v>22.659271773374879</v>
      </c>
      <c r="Y42">
        <f t="shared" si="13"/>
        <v>1.4360677264355921E-2</v>
      </c>
      <c r="Z42">
        <f t="shared" si="14"/>
        <v>0.43082031793067765</v>
      </c>
    </row>
    <row r="43" spans="1:26" x14ac:dyDescent="0.25">
      <c r="B43" t="s">
        <v>15</v>
      </c>
      <c r="C43">
        <v>0.71459799999999996</v>
      </c>
      <c r="D43" s="6">
        <f>C42*D34+C43*D35</f>
        <v>9.7087382493580332</v>
      </c>
      <c r="S43" s="6">
        <f>SUM(S13:S42)</f>
        <v>1172.9203330066437</v>
      </c>
      <c r="T43">
        <f t="shared" si="10"/>
        <v>1</v>
      </c>
      <c r="U43">
        <f>SUM(U13:U42)</f>
        <v>17.194052071180966</v>
      </c>
      <c r="W43">
        <v>31</v>
      </c>
      <c r="X43">
        <f t="shared" si="12"/>
        <v>21.999292983859103</v>
      </c>
      <c r="Y43">
        <f t="shared" si="13"/>
        <v>1.3942405111025164E-2</v>
      </c>
      <c r="Z43">
        <f t="shared" si="14"/>
        <v>0.43221455844178008</v>
      </c>
    </row>
    <row r="44" spans="1:26" x14ac:dyDescent="0.25">
      <c r="W44">
        <v>32</v>
      </c>
      <c r="X44">
        <f t="shared" si="12"/>
        <v>21.358536877533115</v>
      </c>
      <c r="Y44">
        <f t="shared" si="13"/>
        <v>1.3536315641772009E-2</v>
      </c>
      <c r="Z44">
        <f t="shared" si="14"/>
        <v>0.43316210053670429</v>
      </c>
    </row>
    <row r="45" spans="1:26" x14ac:dyDescent="0.25">
      <c r="W45">
        <v>33</v>
      </c>
      <c r="X45">
        <f t="shared" si="12"/>
        <v>20.736443570420498</v>
      </c>
      <c r="Y45">
        <f t="shared" si="13"/>
        <v>1.3142054021137871E-2</v>
      </c>
      <c r="Z45">
        <f t="shared" si="14"/>
        <v>0.43368778269754976</v>
      </c>
    </row>
    <row r="46" spans="1:26" x14ac:dyDescent="0.25">
      <c r="A46" s="6" t="s">
        <v>19</v>
      </c>
      <c r="W46">
        <v>34</v>
      </c>
      <c r="X46">
        <f t="shared" si="12"/>
        <v>20.132469485845146</v>
      </c>
      <c r="Y46">
        <f t="shared" si="13"/>
        <v>1.2759275748677546E-2</v>
      </c>
      <c r="Z46">
        <f t="shared" si="14"/>
        <v>0.43381537545503657</v>
      </c>
    </row>
    <row r="47" spans="1:26" x14ac:dyDescent="0.25">
      <c r="A47" t="s">
        <v>14</v>
      </c>
      <c r="B47">
        <f>10000000*C42</f>
        <v>2854020</v>
      </c>
      <c r="C47" t="s">
        <v>20</v>
      </c>
      <c r="W47">
        <v>35</v>
      </c>
      <c r="X47">
        <f t="shared" si="12"/>
        <v>19.546086879461306</v>
      </c>
      <c r="Y47">
        <f t="shared" si="13"/>
        <v>1.2387646357939364E-2</v>
      </c>
      <c r="Z47">
        <f t="shared" si="14"/>
        <v>0.43356762252787773</v>
      </c>
    </row>
    <row r="48" spans="1:26" x14ac:dyDescent="0.25">
      <c r="A48" t="s">
        <v>15</v>
      </c>
      <c r="B48">
        <f>10000000*C43</f>
        <v>7145980</v>
      </c>
      <c r="C48" t="s">
        <v>20</v>
      </c>
      <c r="W48">
        <v>36</v>
      </c>
      <c r="X48">
        <f t="shared" si="12"/>
        <v>18.976783378117773</v>
      </c>
      <c r="Y48">
        <f t="shared" si="13"/>
        <v>1.2026841124212975E-2</v>
      </c>
      <c r="Z48">
        <f t="shared" si="14"/>
        <v>0.43296628047166708</v>
      </c>
    </row>
    <row r="49" spans="1:26" x14ac:dyDescent="0.25">
      <c r="W49">
        <v>37</v>
      </c>
      <c r="X49">
        <f t="shared" si="12"/>
        <v>18.424061532153178</v>
      </c>
      <c r="Y49">
        <f t="shared" si="13"/>
        <v>1.1676544780789297E-2</v>
      </c>
      <c r="Z49">
        <f t="shared" si="14"/>
        <v>0.43203215688920399</v>
      </c>
    </row>
    <row r="50" spans="1:26" x14ac:dyDescent="0.25">
      <c r="A50" s="6" t="s">
        <v>46</v>
      </c>
      <c r="W50">
        <v>38</v>
      </c>
      <c r="X50">
        <f t="shared" si="12"/>
        <v>17.887438380731243</v>
      </c>
      <c r="Y50">
        <f t="shared" si="13"/>
        <v>1.1336451243484756E-2</v>
      </c>
      <c r="Z50">
        <f t="shared" si="14"/>
        <v>0.43078514725242073</v>
      </c>
    </row>
    <row r="51" spans="1:26" x14ac:dyDescent="0.25">
      <c r="A51" t="s">
        <v>14</v>
      </c>
      <c r="B51" s="4">
        <f>B47/S43</f>
        <v>2433.2598895988567</v>
      </c>
      <c r="C51" s="1" t="s">
        <v>47</v>
      </c>
      <c r="W51">
        <v>39</v>
      </c>
      <c r="X51">
        <f t="shared" si="12"/>
        <v>17.366445029836154</v>
      </c>
      <c r="Y51">
        <f t="shared" si="13"/>
        <v>1.100626334318908E-2</v>
      </c>
      <c r="Z51">
        <f t="shared" si="14"/>
        <v>0.42924427038437413</v>
      </c>
    </row>
    <row r="52" spans="1:26" x14ac:dyDescent="0.25">
      <c r="A52" t="s">
        <v>15</v>
      </c>
      <c r="B52" s="4">
        <f>B48/X53</f>
        <v>4528.8795484647526</v>
      </c>
      <c r="C52" s="1" t="s">
        <v>47</v>
      </c>
      <c r="W52">
        <v>40</v>
      </c>
      <c r="X52">
        <f>1055/1.03^W52</f>
        <v>323.41746701636623</v>
      </c>
      <c r="Y52">
        <f t="shared" si="13"/>
        <v>0.20497101195171197</v>
      </c>
      <c r="Z52">
        <f t="shared" si="14"/>
        <v>8.1988404780684796</v>
      </c>
    </row>
    <row r="53" spans="1:26" x14ac:dyDescent="0.25">
      <c r="X53" s="6">
        <f>SUM(X13:X52)</f>
        <v>1577.8692993551617</v>
      </c>
      <c r="Y53">
        <f t="shared" si="13"/>
        <v>1</v>
      </c>
      <c r="Z53" s="6">
        <f>SUM(Z13:Z52)</f>
        <v>21.186693388247235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workbookViewId="0">
      <selection activeCell="B2" sqref="B2"/>
    </sheetView>
  </sheetViews>
  <sheetFormatPr defaultRowHeight="15" x14ac:dyDescent="0.25"/>
  <cols>
    <col min="4" max="4" width="12" bestFit="1" customWidth="1"/>
    <col min="10" max="10" width="9.5703125" bestFit="1" customWidth="1"/>
  </cols>
  <sheetData>
    <row r="1" spans="1:21" x14ac:dyDescent="0.25">
      <c r="A1" s="6" t="s">
        <v>24</v>
      </c>
      <c r="D1" s="6" t="s">
        <v>25</v>
      </c>
    </row>
    <row r="2" spans="1:21" x14ac:dyDescent="0.25">
      <c r="A2" t="s">
        <v>26</v>
      </c>
      <c r="B2">
        <v>1000</v>
      </c>
      <c r="D2" t="s">
        <v>37</v>
      </c>
      <c r="E2" t="s">
        <v>49</v>
      </c>
    </row>
    <row r="3" spans="1:21" x14ac:dyDescent="0.25">
      <c r="A3" t="s">
        <v>27</v>
      </c>
      <c r="B3">
        <v>1000</v>
      </c>
      <c r="D3" s="13">
        <v>0.03</v>
      </c>
      <c r="E3">
        <v>1</v>
      </c>
    </row>
    <row r="4" spans="1:21" x14ac:dyDescent="0.25">
      <c r="A4" t="s">
        <v>28</v>
      </c>
      <c r="B4">
        <v>1000</v>
      </c>
      <c r="D4" s="13">
        <v>0.04</v>
      </c>
      <c r="E4">
        <v>2</v>
      </c>
    </row>
    <row r="5" spans="1:21" x14ac:dyDescent="0.25">
      <c r="A5" t="s">
        <v>29</v>
      </c>
      <c r="B5">
        <v>1000</v>
      </c>
      <c r="D5" s="13">
        <v>0.05</v>
      </c>
      <c r="E5">
        <v>5</v>
      </c>
    </row>
    <row r="6" spans="1:21" x14ac:dyDescent="0.25">
      <c r="A6" t="s">
        <v>30</v>
      </c>
      <c r="B6">
        <v>2500</v>
      </c>
      <c r="D6" s="13">
        <v>0.06</v>
      </c>
      <c r="E6">
        <v>10</v>
      </c>
    </row>
    <row r="7" spans="1:21" x14ac:dyDescent="0.25">
      <c r="A7" t="s">
        <v>31</v>
      </c>
      <c r="B7">
        <v>2500</v>
      </c>
    </row>
    <row r="8" spans="1:21" x14ac:dyDescent="0.25">
      <c r="A8" t="s">
        <v>32</v>
      </c>
      <c r="B8">
        <v>2500</v>
      </c>
    </row>
    <row r="9" spans="1:21" x14ac:dyDescent="0.25">
      <c r="A9" t="s">
        <v>33</v>
      </c>
      <c r="B9">
        <v>2500</v>
      </c>
    </row>
    <row r="10" spans="1:21" x14ac:dyDescent="0.25">
      <c r="A10" t="s">
        <v>34</v>
      </c>
      <c r="B10">
        <v>3000</v>
      </c>
    </row>
    <row r="11" spans="1:21" x14ac:dyDescent="0.25">
      <c r="A11" t="s">
        <v>35</v>
      </c>
      <c r="B11">
        <v>3500</v>
      </c>
    </row>
    <row r="15" spans="1:21" x14ac:dyDescent="0.25">
      <c r="A15" s="6" t="s">
        <v>36</v>
      </c>
      <c r="D15" s="6" t="s">
        <v>0</v>
      </c>
      <c r="E15" s="6" t="s">
        <v>37</v>
      </c>
      <c r="F15" s="6" t="s">
        <v>23</v>
      </c>
      <c r="M15" s="9" t="s">
        <v>38</v>
      </c>
      <c r="N15" s="10"/>
      <c r="O15" s="9" t="s">
        <v>39</v>
      </c>
      <c r="P15" s="10"/>
      <c r="Q15" s="9" t="s">
        <v>15</v>
      </c>
      <c r="R15" s="10"/>
      <c r="S15" s="9" t="s">
        <v>40</v>
      </c>
      <c r="T15" s="10"/>
      <c r="U15" s="9" t="s">
        <v>41</v>
      </c>
    </row>
    <row r="16" spans="1:21" ht="15.75" x14ac:dyDescent="0.25">
      <c r="A16" t="s">
        <v>42</v>
      </c>
      <c r="D16" s="14">
        <f>SUM(D17:D26)</f>
        <v>14153.303188425685</v>
      </c>
      <c r="E16" s="15"/>
      <c r="I16" s="11" t="s">
        <v>38</v>
      </c>
      <c r="J16" s="16">
        <f>D17</f>
        <v>181.07940176830178</v>
      </c>
      <c r="M16" s="6" t="s">
        <v>43</v>
      </c>
      <c r="N16" s="6" t="s">
        <v>37</v>
      </c>
      <c r="O16" s="6" t="s">
        <v>43</v>
      </c>
      <c r="P16" s="6" t="s">
        <v>37</v>
      </c>
      <c r="Q16" s="6" t="s">
        <v>43</v>
      </c>
      <c r="R16" s="6" t="s">
        <v>37</v>
      </c>
      <c r="S16" s="6" t="s">
        <v>43</v>
      </c>
      <c r="T16" s="6" t="s">
        <v>37</v>
      </c>
    </row>
    <row r="17" spans="1:21" ht="15.75" x14ac:dyDescent="0.25">
      <c r="A17" t="s">
        <v>26</v>
      </c>
      <c r="B17">
        <v>1000</v>
      </c>
      <c r="D17" s="15">
        <f>(B17-E18)/1.03</f>
        <v>181.07940176830178</v>
      </c>
      <c r="E17" s="15">
        <f>E18+(D17*0.03)</f>
        <v>818.92059823169825</v>
      </c>
      <c r="F17">
        <f t="shared" ref="F17:F26" si="0">D17+E17</f>
        <v>1000</v>
      </c>
      <c r="I17" s="11" t="s">
        <v>39</v>
      </c>
      <c r="J17" s="16">
        <f>D18</f>
        <v>186.51178382135083</v>
      </c>
      <c r="L17" s="6" t="s">
        <v>42</v>
      </c>
      <c r="M17">
        <f>J16</f>
        <v>181.07940176830178</v>
      </c>
      <c r="O17">
        <f>J17</f>
        <v>186.51178382135083</v>
      </c>
      <c r="Q17">
        <f>J18</f>
        <v>2111.4975344366808</v>
      </c>
      <c r="S17">
        <f>J19</f>
        <v>11674.214468399352</v>
      </c>
    </row>
    <row r="18" spans="1:21" ht="15.75" x14ac:dyDescent="0.25">
      <c r="A18" t="s">
        <v>27</v>
      </c>
      <c r="B18">
        <v>1000</v>
      </c>
      <c r="D18" s="15">
        <f>(B18-E19)/1.04</f>
        <v>186.51178382135083</v>
      </c>
      <c r="E18" s="15">
        <f>E19+(D18*0.04)</f>
        <v>813.48821617864917</v>
      </c>
      <c r="F18">
        <f t="shared" si="0"/>
        <v>1000</v>
      </c>
      <c r="I18" s="11" t="s">
        <v>15</v>
      </c>
      <c r="J18" s="16">
        <f>D21+D20+D19</f>
        <v>2111.4975344366808</v>
      </c>
      <c r="L18" s="6" t="s">
        <v>26</v>
      </c>
      <c r="M18">
        <f>J16</f>
        <v>181.07940176830178</v>
      </c>
      <c r="N18">
        <f>M17*0.03</f>
        <v>5.4323820530490528</v>
      </c>
      <c r="O18">
        <f>J17</f>
        <v>186.51178382135083</v>
      </c>
      <c r="P18">
        <f>O17*0.04</f>
        <v>7.4604713528540332</v>
      </c>
      <c r="Q18">
        <f>J18</f>
        <v>2111.4975344366808</v>
      </c>
      <c r="R18">
        <f>Q17*0.05</f>
        <v>105.57487672183404</v>
      </c>
      <c r="S18">
        <f>J19</f>
        <v>11674.214468399352</v>
      </c>
      <c r="T18">
        <f t="shared" ref="T18:T27" si="1">S17*0.06</f>
        <v>700.45286810396112</v>
      </c>
      <c r="U18">
        <f>B17-M18-N18-P18-R18-T18</f>
        <v>0</v>
      </c>
    </row>
    <row r="19" spans="1:21" ht="15.75" x14ac:dyDescent="0.25">
      <c r="A19" t="s">
        <v>28</v>
      </c>
      <c r="B19">
        <v>1000</v>
      </c>
      <c r="D19" s="15">
        <f>(B19-E20)/1.05</f>
        <v>193.97225517420489</v>
      </c>
      <c r="E19" s="15">
        <f>E20+(D19*0.05)</f>
        <v>806.02774482579514</v>
      </c>
      <c r="F19">
        <f t="shared" si="0"/>
        <v>1000</v>
      </c>
      <c r="I19" s="11" t="s">
        <v>40</v>
      </c>
      <c r="J19" s="16">
        <f>D26+D25+D24+D23+D22</f>
        <v>11674.214468399352</v>
      </c>
      <c r="L19" s="6" t="s">
        <v>27</v>
      </c>
      <c r="M19">
        <v>0</v>
      </c>
      <c r="N19">
        <v>0</v>
      </c>
      <c r="O19">
        <f>J17</f>
        <v>186.51178382135083</v>
      </c>
      <c r="P19">
        <f>O18*0.04</f>
        <v>7.4604713528540332</v>
      </c>
      <c r="Q19">
        <f>J18</f>
        <v>2111.4975344366808</v>
      </c>
      <c r="R19">
        <f>Q18*0.05</f>
        <v>105.57487672183404</v>
      </c>
      <c r="S19">
        <f>J19</f>
        <v>11674.214468399352</v>
      </c>
      <c r="T19">
        <f t="shared" si="1"/>
        <v>700.45286810396112</v>
      </c>
      <c r="U19">
        <f>B18-O19-P19-R19-T19</f>
        <v>0</v>
      </c>
    </row>
    <row r="20" spans="1:21" x14ac:dyDescent="0.25">
      <c r="A20" t="s">
        <v>29</v>
      </c>
      <c r="B20">
        <v>1000</v>
      </c>
      <c r="D20" s="15">
        <f>(B20-E21)/1.05</f>
        <v>203.67086793291512</v>
      </c>
      <c r="E20" s="15">
        <f>E21+(D20*0.05)</f>
        <v>796.32913206708486</v>
      </c>
      <c r="F20">
        <f t="shared" si="0"/>
        <v>1000</v>
      </c>
      <c r="I20" s="6" t="s">
        <v>50</v>
      </c>
      <c r="J20" s="14">
        <f>SUM(J16:J19)</f>
        <v>14153.303188425685</v>
      </c>
      <c r="L20" s="6" t="s">
        <v>28</v>
      </c>
      <c r="O20">
        <v>0</v>
      </c>
      <c r="P20">
        <v>0</v>
      </c>
      <c r="Q20">
        <f>J18-U20</f>
        <v>1917.525279262476</v>
      </c>
      <c r="R20">
        <f>Q19*0.05</f>
        <v>105.57487672183404</v>
      </c>
      <c r="S20">
        <f>J19</f>
        <v>11674.214468399352</v>
      </c>
      <c r="T20">
        <f t="shared" si="1"/>
        <v>700.45286810396112</v>
      </c>
      <c r="U20">
        <f>B19-R20-T20</f>
        <v>193.97225517420486</v>
      </c>
    </row>
    <row r="21" spans="1:21" x14ac:dyDescent="0.25">
      <c r="A21" t="s">
        <v>30</v>
      </c>
      <c r="B21">
        <v>2500</v>
      </c>
      <c r="D21" s="15">
        <f>(B21-E22)/1.05</f>
        <v>1713.8544113295609</v>
      </c>
      <c r="E21" s="15">
        <f>E22+(D21*0.05)</f>
        <v>786.14558867043911</v>
      </c>
      <c r="F21">
        <f t="shared" si="0"/>
        <v>2500</v>
      </c>
      <c r="L21" s="6" t="s">
        <v>29</v>
      </c>
      <c r="Q21">
        <f>Q20-U21</f>
        <v>1713.8544113295611</v>
      </c>
      <c r="R21">
        <f>Q20*0.05</f>
        <v>95.876263963123805</v>
      </c>
      <c r="S21">
        <f>J19</f>
        <v>11674.214468399352</v>
      </c>
      <c r="T21">
        <f t="shared" si="1"/>
        <v>700.45286810396112</v>
      </c>
      <c r="U21">
        <f>B20-R21-T21</f>
        <v>203.67086793291503</v>
      </c>
    </row>
    <row r="22" spans="1:21" x14ac:dyDescent="0.25">
      <c r="A22" t="s">
        <v>31</v>
      </c>
      <c r="B22">
        <v>2500</v>
      </c>
      <c r="D22" s="15">
        <f>(B22-E23)/1.06</f>
        <v>1799.547131896039</v>
      </c>
      <c r="E22" s="15">
        <f>E23+(D22*0.06)</f>
        <v>700.45286810396101</v>
      </c>
      <c r="F22">
        <f t="shared" si="0"/>
        <v>2500</v>
      </c>
      <c r="L22" s="6" t="s">
        <v>30</v>
      </c>
      <c r="Q22">
        <f>Q21</f>
        <v>1713.8544113295611</v>
      </c>
      <c r="R22">
        <f>Q21*0.05</f>
        <v>85.692720566478059</v>
      </c>
      <c r="S22">
        <f>J19</f>
        <v>11674.214468399352</v>
      </c>
      <c r="T22">
        <f t="shared" si="1"/>
        <v>700.45286810396112</v>
      </c>
      <c r="U22">
        <f>B21-R22-T22-Q22</f>
        <v>0</v>
      </c>
    </row>
    <row r="23" spans="1:21" x14ac:dyDescent="0.25">
      <c r="A23" t="s">
        <v>32</v>
      </c>
      <c r="B23">
        <v>2500</v>
      </c>
      <c r="D23" s="15">
        <f>(B23-E24)/1.06</f>
        <v>1907.5199598098011</v>
      </c>
      <c r="E23" s="15">
        <f>E24+(D23*0.06)</f>
        <v>592.48004019019868</v>
      </c>
      <c r="F23">
        <f t="shared" si="0"/>
        <v>2500</v>
      </c>
      <c r="L23" s="6" t="s">
        <v>31</v>
      </c>
      <c r="Q23">
        <v>0</v>
      </c>
      <c r="R23">
        <v>0</v>
      </c>
      <c r="S23">
        <f>J19-U23</f>
        <v>9874.667336503313</v>
      </c>
      <c r="T23">
        <f t="shared" si="1"/>
        <v>700.45286810396112</v>
      </c>
      <c r="U23">
        <f>B22-T23</f>
        <v>1799.547131896039</v>
      </c>
    </row>
    <row r="24" spans="1:21" x14ac:dyDescent="0.25">
      <c r="A24" t="s">
        <v>33</v>
      </c>
      <c r="B24">
        <v>2500</v>
      </c>
      <c r="D24" s="15">
        <f>(B24-E25)/1.06</f>
        <v>2021.9711573983889</v>
      </c>
      <c r="E24" s="15">
        <f>E25+(D24*0.06)</f>
        <v>478.02884260161068</v>
      </c>
      <c r="F24">
        <f t="shared" si="0"/>
        <v>2499.9999999999995</v>
      </c>
      <c r="L24" s="6" t="s">
        <v>32</v>
      </c>
      <c r="S24">
        <f>S23-U24</f>
        <v>7967.1473766935123</v>
      </c>
      <c r="T24">
        <f t="shared" si="1"/>
        <v>592.48004019019879</v>
      </c>
      <c r="U24">
        <f>B23-T24</f>
        <v>1907.5199598098011</v>
      </c>
    </row>
    <row r="25" spans="1:21" x14ac:dyDescent="0.25">
      <c r="A25" t="s">
        <v>34</v>
      </c>
      <c r="B25">
        <v>3000</v>
      </c>
      <c r="D25" s="15">
        <f>(B25-E26)/1.06</f>
        <v>2643.2894268422929</v>
      </c>
      <c r="E25" s="15">
        <f>($D$26*0.06)+(D25*0.06)</f>
        <v>356.71057315770736</v>
      </c>
      <c r="F25">
        <f t="shared" si="0"/>
        <v>3000</v>
      </c>
      <c r="L25" s="6" t="s">
        <v>33</v>
      </c>
      <c r="S25">
        <f>S24-U25</f>
        <v>5945.1762192951228</v>
      </c>
      <c r="T25">
        <f t="shared" si="1"/>
        <v>478.02884260161073</v>
      </c>
      <c r="U25">
        <f>B24-T25</f>
        <v>2021.9711573983893</v>
      </c>
    </row>
    <row r="26" spans="1:21" x14ac:dyDescent="0.25">
      <c r="A26" t="s">
        <v>35</v>
      </c>
      <c r="B26">
        <v>3500</v>
      </c>
      <c r="D26" s="15">
        <f>B26/(1.06)</f>
        <v>3301.8867924528299</v>
      </c>
      <c r="E26" s="15">
        <f>D26*0.06</f>
        <v>198.11320754716979</v>
      </c>
      <c r="F26">
        <f t="shared" si="0"/>
        <v>3499.9999999999995</v>
      </c>
      <c r="L26" s="6" t="s">
        <v>34</v>
      </c>
      <c r="S26">
        <f>S25-U26</f>
        <v>3301.8867924528304</v>
      </c>
      <c r="T26">
        <f t="shared" si="1"/>
        <v>356.71057315770736</v>
      </c>
      <c r="U26">
        <f>B25-T26</f>
        <v>2643.2894268422924</v>
      </c>
    </row>
    <row r="27" spans="1:21" x14ac:dyDescent="0.25">
      <c r="L27" s="6" t="s">
        <v>35</v>
      </c>
      <c r="T27">
        <f t="shared" si="1"/>
        <v>198.11320754716982</v>
      </c>
      <c r="U27">
        <f>B26-T27-S26</f>
        <v>0</v>
      </c>
    </row>
    <row r="30" spans="1:21" x14ac:dyDescent="0.25">
      <c r="M30" s="6" t="s">
        <v>38</v>
      </c>
      <c r="O30" s="6" t="s">
        <v>39</v>
      </c>
      <c r="Q30" s="6" t="s">
        <v>15</v>
      </c>
      <c r="S30" s="6" t="s">
        <v>40</v>
      </c>
    </row>
    <row r="31" spans="1:21" x14ac:dyDescent="0.25">
      <c r="M31" s="6" t="s">
        <v>43</v>
      </c>
      <c r="N31" s="6" t="s">
        <v>37</v>
      </c>
      <c r="O31" s="6" t="s">
        <v>43</v>
      </c>
      <c r="P31" s="6" t="s">
        <v>37</v>
      </c>
      <c r="Q31" s="6" t="s">
        <v>43</v>
      </c>
      <c r="R31" s="6" t="s">
        <v>37</v>
      </c>
      <c r="S31" s="6" t="s">
        <v>43</v>
      </c>
      <c r="T31" s="6" t="s">
        <v>37</v>
      </c>
    </row>
    <row r="32" spans="1:21" x14ac:dyDescent="0.25">
      <c r="L32" s="6" t="s">
        <v>42</v>
      </c>
      <c r="M32">
        <v>181.07940176830178</v>
      </c>
      <c r="O32">
        <v>186.51178382135083</v>
      </c>
      <c r="Q32">
        <v>2111.4975344366808</v>
      </c>
      <c r="S32">
        <v>11674.214468399352</v>
      </c>
    </row>
    <row r="33" spans="12:21" x14ac:dyDescent="0.25">
      <c r="L33" s="6" t="s">
        <v>26</v>
      </c>
      <c r="M33">
        <v>181.07940176830178</v>
      </c>
      <c r="N33">
        <v>5.4323820530490528</v>
      </c>
      <c r="O33">
        <v>186.51178382135083</v>
      </c>
      <c r="P33">
        <v>7.4604713528540332</v>
      </c>
      <c r="Q33">
        <v>2111.4975344366808</v>
      </c>
      <c r="R33">
        <v>105.57487672183404</v>
      </c>
      <c r="S33">
        <v>11674.214468399352</v>
      </c>
      <c r="T33">
        <v>700.45286810396112</v>
      </c>
      <c r="U33">
        <f>B17-M33-N33-P33-R33-T33</f>
        <v>0</v>
      </c>
    </row>
    <row r="34" spans="12:21" x14ac:dyDescent="0.25">
      <c r="L34" s="6" t="s">
        <v>27</v>
      </c>
      <c r="M34">
        <v>0</v>
      </c>
      <c r="N34">
        <v>0</v>
      </c>
      <c r="O34">
        <v>186.51178382135083</v>
      </c>
      <c r="P34">
        <v>7.4604713528540332</v>
      </c>
      <c r="Q34">
        <v>2111.4975344366808</v>
      </c>
      <c r="R34">
        <v>105.57487672183404</v>
      </c>
      <c r="S34">
        <v>11674.214468399352</v>
      </c>
      <c r="T34">
        <v>700.45286810396112</v>
      </c>
      <c r="U34">
        <f>B18-O34-P34-R34-T34</f>
        <v>0</v>
      </c>
    </row>
    <row r="35" spans="12:21" x14ac:dyDescent="0.25">
      <c r="L35" s="6" t="s">
        <v>28</v>
      </c>
      <c r="O35">
        <v>0</v>
      </c>
      <c r="P35">
        <v>0</v>
      </c>
      <c r="Q35">
        <v>1917.525279262476</v>
      </c>
      <c r="R35">
        <v>105.57487672183404</v>
      </c>
      <c r="S35">
        <v>11674.214468399352</v>
      </c>
      <c r="T35">
        <v>700.45286810396112</v>
      </c>
      <c r="U35">
        <f>B19-(Q34-Q35)-R35-T35</f>
        <v>0</v>
      </c>
    </row>
    <row r="36" spans="12:21" x14ac:dyDescent="0.25">
      <c r="L36" s="6" t="s">
        <v>29</v>
      </c>
      <c r="Q36">
        <v>1713.8544113295611</v>
      </c>
      <c r="R36">
        <v>95.876263963123805</v>
      </c>
      <c r="S36">
        <v>11674.214468399352</v>
      </c>
      <c r="T36">
        <v>700.45286810396112</v>
      </c>
      <c r="U36">
        <f>B20-(Q35-Q36)-R36-T36</f>
        <v>0</v>
      </c>
    </row>
    <row r="37" spans="12:21" x14ac:dyDescent="0.25">
      <c r="L37" s="6" t="s">
        <v>30</v>
      </c>
      <c r="Q37">
        <v>1713.8544113295611</v>
      </c>
      <c r="R37">
        <v>85.692720566478059</v>
      </c>
      <c r="S37">
        <v>11674.214468399352</v>
      </c>
      <c r="T37">
        <v>700.45286810396112</v>
      </c>
      <c r="U37">
        <f>B21-Q37-R37-T37</f>
        <v>0</v>
      </c>
    </row>
    <row r="38" spans="12:21" x14ac:dyDescent="0.25">
      <c r="L38" s="6" t="s">
        <v>31</v>
      </c>
      <c r="Q38">
        <v>0</v>
      </c>
      <c r="R38">
        <v>0</v>
      </c>
      <c r="S38">
        <v>9874.667336503313</v>
      </c>
      <c r="T38">
        <v>700.45286810396112</v>
      </c>
      <c r="U38">
        <f>B22-(S37-S38)-T38</f>
        <v>0</v>
      </c>
    </row>
    <row r="39" spans="12:21" x14ac:dyDescent="0.25">
      <c r="L39" s="6" t="s">
        <v>32</v>
      </c>
      <c r="S39">
        <v>7967.1473766935123</v>
      </c>
      <c r="T39">
        <v>592.48004019019879</v>
      </c>
      <c r="U39">
        <f>B23-(S38-S39)-T39</f>
        <v>0</v>
      </c>
    </row>
    <row r="40" spans="12:21" x14ac:dyDescent="0.25">
      <c r="L40" s="6" t="s">
        <v>33</v>
      </c>
      <c r="S40">
        <v>5945.1762192951228</v>
      </c>
      <c r="T40">
        <v>478.02884260161073</v>
      </c>
      <c r="U40">
        <f>B24-(S39-S40)-T40</f>
        <v>0</v>
      </c>
    </row>
    <row r="41" spans="12:21" x14ac:dyDescent="0.25">
      <c r="L41" s="6" t="s">
        <v>34</v>
      </c>
      <c r="S41">
        <v>3301.8867924528304</v>
      </c>
      <c r="T41">
        <v>356.71057315770736</v>
      </c>
      <c r="U41">
        <f>B25-(S40-S41)-T41</f>
        <v>0</v>
      </c>
    </row>
    <row r="42" spans="12:21" x14ac:dyDescent="0.25">
      <c r="L42" s="6" t="s">
        <v>35</v>
      </c>
      <c r="T42">
        <v>198.11320754716982</v>
      </c>
      <c r="U42">
        <f>B26-S41-T42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Question 1</vt:lpstr>
      <vt:lpstr>Question 2</vt:lpstr>
      <vt:lpstr>Question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General</cp:lastModifiedBy>
  <dcterms:created xsi:type="dcterms:W3CDTF">2011-07-05T20:51:59Z</dcterms:created>
  <dcterms:modified xsi:type="dcterms:W3CDTF">2013-04-26T07:28:05Z</dcterms:modified>
</cp:coreProperties>
</file>